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4955" windowHeight="7545" activeTab="4"/>
  </bookViews>
  <sheets>
    <sheet name="メニュー" sheetId="1" r:id="rId1"/>
    <sheet name="表紙" sheetId="2" r:id="rId2"/>
    <sheet name="売上予算" sheetId="3" r:id="rId3"/>
    <sheet name="利益計画" sheetId="4" r:id="rId4"/>
    <sheet name="資金計画" sheetId="5" r:id="rId5"/>
  </sheets>
  <definedNames>
    <definedName name="_xlnm.Print_Area" localSheetId="0">'メニュー'!$A$1:$H$30</definedName>
    <definedName name="_xlnm.Print_Area" localSheetId="4">'資金計画'!$B$1:$L$30</definedName>
    <definedName name="_xlnm.Print_Area" localSheetId="2">'売上予算'!$B$1:$Q$26</definedName>
    <definedName name="_xlnm.Print_Area" localSheetId="1">'表紙'!$B$1:$H$30</definedName>
    <definedName name="_xlnm.Print_Area" localSheetId="3">'利益計画'!$B$7:$O$33</definedName>
  </definedNames>
  <calcPr fullCalcOnLoad="1"/>
</workbook>
</file>

<file path=xl/comments1.xml><?xml version="1.0" encoding="utf-8"?>
<comments xmlns="http://schemas.openxmlformats.org/spreadsheetml/2006/main">
  <authors>
    <author>コメント</author>
  </authors>
  <commentList>
    <comment ref="B8" authorId="0">
      <text>
        <r>
          <rPr>
            <b/>
            <sz val="9"/>
            <rFont val="ＭＳ Ｐゴシック"/>
            <family val="3"/>
          </rPr>
          <t xml:space="preserve">コメント:
</t>
        </r>
        <r>
          <rPr>
            <sz val="9"/>
            <rFont val="ＭＳ Ｐゴシック"/>
            <family val="3"/>
          </rPr>
          <t>通常は変更する必要はありません。</t>
        </r>
      </text>
    </comment>
    <comment ref="B7" authorId="0">
      <text>
        <r>
          <rPr>
            <b/>
            <sz val="9"/>
            <rFont val="ＭＳ Ｐゴシック"/>
            <family val="3"/>
          </rPr>
          <t xml:space="preserve">コメント:
</t>
        </r>
        <r>
          <rPr>
            <sz val="9"/>
            <rFont val="ＭＳ Ｐゴシック"/>
            <family val="3"/>
          </rPr>
          <t>所得が「０」でも納付しなければならない，住民税（法人県民税，法人市民税）の均等割り税額を入力します。選択した単位を考慮して入力してください。
わからない場合は、70,000円で設定してください。
利益計画で税引前利益が「０」以下の場合は，この金額を法人税等で計上します。</t>
        </r>
      </text>
    </comment>
  </commentList>
</comments>
</file>

<file path=xl/comments3.xml><?xml version="1.0" encoding="utf-8"?>
<comments xmlns="http://schemas.openxmlformats.org/spreadsheetml/2006/main">
  <authors>
    <author>コメント</author>
  </authors>
  <commentList>
    <comment ref="D16" authorId="0">
      <text>
        <r>
          <rPr>
            <b/>
            <sz val="9"/>
            <rFont val="ＭＳ Ｐゴシック"/>
            <family val="3"/>
          </rPr>
          <t>コメント:</t>
        </r>
        <r>
          <rPr>
            <sz val="9"/>
            <rFont val="ＭＳ Ｐゴシック"/>
            <family val="3"/>
          </rPr>
          <t xml:space="preserve">
D17～D26の重点販売方針をプルダウンメニューから選択します。このプルダウンメニューの内容はT2～T16の重点販売方針を変更すると，このセルに反映されます。</t>
        </r>
      </text>
    </comment>
    <comment ref="T1" authorId="0">
      <text>
        <r>
          <rPr>
            <b/>
            <sz val="9"/>
            <rFont val="ＭＳ Ｐゴシック"/>
            <family val="3"/>
          </rPr>
          <t>コメント:</t>
        </r>
        <r>
          <rPr>
            <sz val="9"/>
            <rFont val="ＭＳ Ｐゴシック"/>
            <family val="3"/>
          </rPr>
          <t xml:space="preserve">
Ｔ２～Ｔ１６　に入力した重点方針が，Ｄ１７～Ｄ２６　のプルダウンメニューに反映されます。</t>
        </r>
      </text>
    </comment>
  </commentList>
</comments>
</file>

<file path=xl/comments4.xml><?xml version="1.0" encoding="utf-8"?>
<comments xmlns="http://schemas.openxmlformats.org/spreadsheetml/2006/main">
  <authors>
    <author>コメント</author>
  </authors>
  <commentList>
    <comment ref="C2" authorId="0">
      <text>
        <r>
          <rPr>
            <b/>
            <sz val="9"/>
            <rFont val="ＭＳ Ｐゴシック"/>
            <family val="3"/>
          </rPr>
          <t>コメント:</t>
        </r>
        <r>
          <rPr>
            <sz val="9"/>
            <rFont val="ＭＳ Ｐゴシック"/>
            <family val="3"/>
          </rPr>
          <t xml:space="preserve">
人件費，減価償却費，その他販売管理費の前期実績金額を入力します。</t>
        </r>
      </text>
    </comment>
    <comment ref="D2" authorId="0">
      <text>
        <r>
          <rPr>
            <b/>
            <sz val="9"/>
            <rFont val="ＭＳ Ｐゴシック"/>
            <family val="3"/>
          </rPr>
          <t>コメント:</t>
        </r>
        <r>
          <rPr>
            <sz val="9"/>
            <rFont val="ＭＳ Ｐゴシック"/>
            <family val="3"/>
          </rPr>
          <t xml:space="preserve">
人件費，減価償却費，その他販売管理費の前期実績金額に対する伸び率を入力します。
この伸び率をもとに次期の予算額が決定されます。</t>
        </r>
      </text>
    </comment>
    <comment ref="C12" authorId="0">
      <text>
        <r>
          <rPr>
            <b/>
            <sz val="9"/>
            <rFont val="ＭＳ Ｐゴシック"/>
            <family val="3"/>
          </rPr>
          <t>コメント:</t>
        </r>
        <r>
          <rPr>
            <sz val="9"/>
            <rFont val="ＭＳ Ｐゴシック"/>
            <family val="3"/>
          </rPr>
          <t xml:space="preserve">
売上高総利益率を入力します。12％　であれば　12　と入力すると　12％　と表示され，この率をもとに売上高総利益が計算されます。　</t>
        </r>
      </text>
    </comment>
    <comment ref="I2" authorId="0">
      <text>
        <r>
          <rPr>
            <b/>
            <sz val="9"/>
            <rFont val="ＭＳ Ｐゴシック"/>
            <family val="3"/>
          </rPr>
          <t>コメント:</t>
        </r>
        <r>
          <rPr>
            <sz val="9"/>
            <rFont val="ＭＳ Ｐゴシック"/>
            <family val="3"/>
          </rPr>
          <t xml:space="preserve">
人件費に占める固定費の割合を入力します。
アルバイト，繁忙期の季節採用が無い場合は通常100％を選択します。
企業の実情にあわせて選択して下さい。</t>
        </r>
      </text>
    </comment>
    <comment ref="J2" authorId="0">
      <text>
        <r>
          <rPr>
            <b/>
            <sz val="9"/>
            <rFont val="ＭＳ Ｐゴシック"/>
            <family val="3"/>
          </rPr>
          <t>コメント:</t>
        </r>
        <r>
          <rPr>
            <sz val="9"/>
            <rFont val="ＭＳ Ｐゴシック"/>
            <family val="3"/>
          </rPr>
          <t xml:space="preserve">
その他販売管理費に占める固定費の割合を入力します。
販売管理は固定である場合が多いので、通常90％ or 100％　を選択します。
企業の実情にあわせて選択して下さい。</t>
        </r>
      </text>
    </comment>
  </commentList>
</comments>
</file>

<file path=xl/comments5.xml><?xml version="1.0" encoding="utf-8"?>
<comments xmlns="http://schemas.openxmlformats.org/spreadsheetml/2006/main">
  <authors>
    <author>コメント</author>
    <author>nishino</author>
  </authors>
  <commentList>
    <comment ref="D29" authorId="0">
      <text>
        <r>
          <rPr>
            <b/>
            <sz val="9"/>
            <rFont val="ＭＳ Ｐゴシック"/>
            <family val="3"/>
          </rPr>
          <t>コメント:</t>
        </r>
        <r>
          <rPr>
            <sz val="9"/>
            <rFont val="ＭＳ Ｐゴシック"/>
            <family val="3"/>
          </rPr>
          <t xml:space="preserve">
現金預金の前期末残高（今期=計画期開始時の残高）を入力します。</t>
        </r>
      </text>
    </comment>
    <comment ref="G2" authorId="0">
      <text>
        <r>
          <rPr>
            <b/>
            <sz val="9"/>
            <rFont val="ＭＳ Ｐゴシック"/>
            <family val="3"/>
          </rPr>
          <t>コメント:</t>
        </r>
        <r>
          <rPr>
            <sz val="9"/>
            <rFont val="ＭＳ Ｐゴシック"/>
            <family val="3"/>
          </rPr>
          <t xml:space="preserve">
売上高～買掛金（G3～G8）までの昨年の実績を入力します。この入力結果をもとにキャッシュ・フローを作成しています。</t>
        </r>
      </text>
    </comment>
    <comment ref="F12" authorId="0">
      <text>
        <r>
          <rPr>
            <b/>
            <sz val="9"/>
            <rFont val="ＭＳ Ｐゴシック"/>
            <family val="3"/>
          </rPr>
          <t>コメント:</t>
        </r>
        <r>
          <rPr>
            <sz val="9"/>
            <rFont val="ＭＳ Ｐゴシック"/>
            <family val="3"/>
          </rPr>
          <t xml:space="preserve">
G12～K12にそれぞれの売却価格を入力します。この金額の合計が投資活動によるキャッシュ・フローの固定資産売却による収入になります。</t>
        </r>
      </text>
    </comment>
    <comment ref="F13" authorId="0">
      <text>
        <r>
          <rPr>
            <b/>
            <sz val="9"/>
            <rFont val="ＭＳ Ｐゴシック"/>
            <family val="3"/>
          </rPr>
          <t>コメント:</t>
        </r>
        <r>
          <rPr>
            <sz val="9"/>
            <rFont val="ＭＳ Ｐゴシック"/>
            <family val="3"/>
          </rPr>
          <t xml:space="preserve">
購入価格が，投資活動によるキャッシュ・フローのそれぞれの項目の支出になります。</t>
        </r>
      </text>
    </comment>
    <comment ref="H15" authorId="0">
      <text>
        <r>
          <rPr>
            <b/>
            <sz val="9"/>
            <rFont val="ＭＳ Ｐゴシック"/>
            <family val="3"/>
          </rPr>
          <t>コメント:</t>
        </r>
        <r>
          <rPr>
            <sz val="9"/>
            <rFont val="ＭＳ Ｐゴシック"/>
            <family val="3"/>
          </rPr>
          <t xml:space="preserve">
それぞれの取得固定資産の購入金額を入力します。</t>
        </r>
      </text>
    </comment>
    <comment ref="G16" authorId="0">
      <text>
        <r>
          <rPr>
            <b/>
            <sz val="9"/>
            <rFont val="ＭＳ Ｐゴシック"/>
            <family val="3"/>
          </rPr>
          <t>コメント:</t>
        </r>
        <r>
          <rPr>
            <sz val="9"/>
            <rFont val="ＭＳ Ｐゴシック"/>
            <family val="3"/>
          </rPr>
          <t xml:space="preserve">
それぞれの購入固定資産の名称等を入力します。</t>
        </r>
      </text>
    </comment>
    <comment ref="K2" authorId="0">
      <text>
        <r>
          <rPr>
            <b/>
            <sz val="9"/>
            <rFont val="ＭＳ Ｐゴシック"/>
            <family val="3"/>
          </rPr>
          <t>コメント:</t>
        </r>
        <r>
          <rPr>
            <sz val="9"/>
            <rFont val="ＭＳ Ｐゴシック"/>
            <family val="3"/>
          </rPr>
          <t xml:space="preserve">
K3に計算された売上高の増減割合を基礎に，受取手形等（F4～F8）を計算します。この金額を調整するときに，K4～K8に増減割合を入力します。
この割合を入力すると，K3の計算結果ではなく入力した結果と　L4～L8　の増減調整を加味して予算及び増減額が計算されます。</t>
        </r>
      </text>
    </comment>
    <comment ref="B11" authorId="1">
      <text>
        <r>
          <rPr>
            <sz val="9"/>
            <rFont val="ＭＳ Ｐゴシック"/>
            <family val="3"/>
          </rPr>
          <t>上記にない項目が発生した場合いなど，必要に応じて調整額に金額を入力して営業キャッシュ・フローの金額を変更します｡</t>
        </r>
      </text>
    </comment>
    <comment ref="B20" authorId="1">
      <text>
        <r>
          <rPr>
            <sz val="9"/>
            <rFont val="ＭＳ Ｐゴシック"/>
            <family val="3"/>
          </rPr>
          <t>上記にない項目が発生した場合いなど，必要に応じて調整額に金額を入力して投資キャッシュ・フローの金額を変更します｡</t>
        </r>
      </text>
    </comment>
    <comment ref="G11" authorId="0">
      <text>
        <r>
          <rPr>
            <b/>
            <sz val="9"/>
            <rFont val="ＭＳ Ｐゴシック"/>
            <family val="3"/>
          </rPr>
          <t>コメント:</t>
        </r>
        <r>
          <rPr>
            <sz val="9"/>
            <rFont val="ＭＳ Ｐゴシック"/>
            <family val="3"/>
          </rPr>
          <t xml:space="preserve">
G11～K11のセルを，プルダウンメニューから選択して下さい。。</t>
        </r>
      </text>
    </comment>
  </commentList>
</comments>
</file>

<file path=xl/sharedStrings.xml><?xml version="1.0" encoding="utf-8"?>
<sst xmlns="http://schemas.openxmlformats.org/spreadsheetml/2006/main" count="302" uniqueCount="235">
  <si>
    <t>商品3</t>
  </si>
  <si>
    <t>商品4</t>
  </si>
  <si>
    <t>商品5</t>
  </si>
  <si>
    <t>商品6</t>
  </si>
  <si>
    <t>商品7</t>
  </si>
  <si>
    <t>商品8</t>
  </si>
  <si>
    <t>商品9</t>
  </si>
  <si>
    <t>商品10</t>
  </si>
  <si>
    <t>重点的な得意先の売上を増加させる。</t>
  </si>
  <si>
    <t>販売数量を増加して、売上高を増加させる。</t>
  </si>
  <si>
    <t>販売単価を改定して、売上高を増加させる。</t>
  </si>
  <si>
    <t>営業力を強化して、売上を増加させる。</t>
  </si>
  <si>
    <t>特売を実施して、売上を増加させる。</t>
  </si>
  <si>
    <t>新規開拓をおこなって、売上を増加させる。</t>
  </si>
  <si>
    <t>販促物の活用によって、売上を増加させる。</t>
  </si>
  <si>
    <t>値引き販売によって、売上を増加させる。</t>
  </si>
  <si>
    <t>このまま自然増で売上が増加する。</t>
  </si>
  <si>
    <t>得意先を差別化（囲い込んで）売上の増大を図る。</t>
  </si>
  <si>
    <t>新商品（製品）の提供によって売上を増加させる。</t>
  </si>
  <si>
    <t>売上が減少する。</t>
  </si>
  <si>
    <t>売上が大幅に減少する。</t>
  </si>
  <si>
    <t>№</t>
  </si>
  <si>
    <t>この部分を追加2</t>
  </si>
  <si>
    <t>商品別売上予算</t>
  </si>
  <si>
    <t>人件費</t>
  </si>
  <si>
    <t>雑収入</t>
  </si>
  <si>
    <t>均等割税額</t>
  </si>
  <si>
    <t>税引前利益</t>
  </si>
  <si>
    <t>減価償却費</t>
  </si>
  <si>
    <t>法人税等支払額</t>
  </si>
  <si>
    <t>固定資産売却による収入</t>
  </si>
  <si>
    <t>Ⅳ.現金の増加額</t>
  </si>
  <si>
    <t>Ⅵ.現金の期末残高</t>
  </si>
  <si>
    <t>売上高</t>
  </si>
  <si>
    <t>予算</t>
  </si>
  <si>
    <t>増減割合</t>
  </si>
  <si>
    <t>増減額</t>
  </si>
  <si>
    <t>Ⅰ.営業活動によるｷｬｯｼｭ･ﾌﾛｰ</t>
  </si>
  <si>
    <t>営業活動によるｷｬｯｼｭ･ﾌﾛｰ</t>
  </si>
  <si>
    <t>Ⅱ.投資活動によるｷｬｯｼｭ･ﾌﾛｰ</t>
  </si>
  <si>
    <t>投資活動によるｷｬｯｼｭ･ﾌﾛｰ</t>
  </si>
  <si>
    <t>Ⅲ.財務活動によるｷｬｯｼｭ･ﾌﾛｰ</t>
  </si>
  <si>
    <t>財務活動によるｷｬｯｼｭ･ﾌﾛｰ</t>
  </si>
  <si>
    <t>増減調整</t>
  </si>
  <si>
    <t>勘定科目</t>
  </si>
  <si>
    <t>年間返済額</t>
  </si>
  <si>
    <t>合計</t>
  </si>
  <si>
    <t>売却価格</t>
  </si>
  <si>
    <t>購入価格</t>
  </si>
  <si>
    <t>土地・建物</t>
  </si>
  <si>
    <t>車輌運搬具</t>
  </si>
  <si>
    <t>機械装置</t>
  </si>
  <si>
    <t>工具器具備品</t>
  </si>
  <si>
    <t>短期借入金借入による収入</t>
  </si>
  <si>
    <t>短期借入金返済による支出</t>
  </si>
  <si>
    <t>長期借入金借入による収入</t>
  </si>
  <si>
    <t>長期借入金返済による支出</t>
  </si>
  <si>
    <t>A銀行</t>
  </si>
  <si>
    <t>B銀行</t>
  </si>
  <si>
    <t>C銀行</t>
  </si>
  <si>
    <t>法人税の実効税率</t>
  </si>
  <si>
    <t>新商品（製品）の提供によって売上を増加させる。</t>
  </si>
  <si>
    <t>購入金額</t>
  </si>
  <si>
    <t>投資CFの明細</t>
  </si>
  <si>
    <t>その他</t>
  </si>
  <si>
    <t>財務CF1</t>
  </si>
  <si>
    <t>財務CF2</t>
  </si>
  <si>
    <t>営業CF</t>
  </si>
  <si>
    <t>投資CF</t>
  </si>
  <si>
    <t>D銀行</t>
  </si>
  <si>
    <t>短　期　借　入　金</t>
  </si>
  <si>
    <t>長　期　借　入　金</t>
  </si>
  <si>
    <t>会社名</t>
  </si>
  <si>
    <t>計画設定期の開始年</t>
  </si>
  <si>
    <t>計画設定期の開始月</t>
  </si>
  <si>
    <t>計画設定期の事業年度</t>
  </si>
  <si>
    <t>単位（通常は千円）</t>
  </si>
  <si>
    <t>販売費及び一般管理費の固定費，変動費の設定</t>
  </si>
  <si>
    <t>伸び率</t>
  </si>
  <si>
    <t>予算額</t>
  </si>
  <si>
    <t>諸経費の配分基準</t>
  </si>
  <si>
    <t>人件費実績</t>
  </si>
  <si>
    <t>固定費割合を入力</t>
  </si>
  <si>
    <t>減価償却費実績</t>
  </si>
  <si>
    <t>変動費割合を入力</t>
  </si>
  <si>
    <t>その他販管費実績</t>
  </si>
  <si>
    <t>年間予算</t>
  </si>
  <si>
    <t>売上高</t>
  </si>
  <si>
    <t>売上原価</t>
  </si>
  <si>
    <t>売上高総利益率</t>
  </si>
  <si>
    <t>売上高総利益</t>
  </si>
  <si>
    <t>販売管理費</t>
  </si>
  <si>
    <t>人件費</t>
  </si>
  <si>
    <t>減価償却費</t>
  </si>
  <si>
    <t>その他販売管理費</t>
  </si>
  <si>
    <t>販売管理費計</t>
  </si>
  <si>
    <t>営業利益</t>
  </si>
  <si>
    <t>営業外収益</t>
  </si>
  <si>
    <t>営業外収益計</t>
  </si>
  <si>
    <t>営業外費用</t>
  </si>
  <si>
    <t>支払利息割引料</t>
  </si>
  <si>
    <t>雑損失</t>
  </si>
  <si>
    <t>営業外費用計</t>
  </si>
  <si>
    <t>経常利益</t>
  </si>
  <si>
    <t>特別利益</t>
  </si>
  <si>
    <t>特別損失</t>
  </si>
  <si>
    <t>税引前当期純利益</t>
  </si>
  <si>
    <t>法人税等</t>
  </si>
  <si>
    <t>－</t>
  </si>
  <si>
    <t>当期純利益</t>
  </si>
  <si>
    <t>販売費及び一般管理費の当期予算の設定</t>
  </si>
  <si>
    <t>№</t>
  </si>
  <si>
    <t>商品（商品群）名称</t>
  </si>
  <si>
    <t>予算合計</t>
  </si>
  <si>
    <t>売上のグラフを作る表です</t>
  </si>
  <si>
    <t>月</t>
  </si>
  <si>
    <t>売上</t>
  </si>
  <si>
    <t>合　計</t>
  </si>
  <si>
    <t>を実現する販売方針</t>
  </si>
  <si>
    <t>重　点　販　売　方　針</t>
  </si>
  <si>
    <t>年</t>
  </si>
  <si>
    <t>月</t>
  </si>
  <si>
    <t>期</t>
  </si>
  <si>
    <t>○○銀行</t>
  </si>
  <si>
    <t>□□信用金庫</t>
  </si>
  <si>
    <t>××信用組合</t>
  </si>
  <si>
    <t>計画書の提出先</t>
  </si>
  <si>
    <t>住民税の均等割税額</t>
  </si>
  <si>
    <t>この下のシートは計算用に使用しています。</t>
  </si>
  <si>
    <t>～</t>
  </si>
  <si>
    <t>前年実績</t>
  </si>
  <si>
    <t>利益計画（月別利益計画）</t>
  </si>
  <si>
    <t>実効税率</t>
  </si>
  <si>
    <t>キャッシュ・フロー計算書作成根拠</t>
  </si>
  <si>
    <t>受取手形</t>
  </si>
  <si>
    <t>売掛金</t>
  </si>
  <si>
    <t>支払手形</t>
  </si>
  <si>
    <t>買掛金</t>
  </si>
  <si>
    <t>提出先</t>
  </si>
  <si>
    <t>殿</t>
  </si>
  <si>
    <t>敬称</t>
  </si>
  <si>
    <t>△△商事　株式会社</t>
  </si>
  <si>
    <t>事 業 計 画</t>
  </si>
  <si>
    <t>現金増減判定</t>
  </si>
  <si>
    <t>税金の設定</t>
  </si>
  <si>
    <t>前期の金額</t>
  </si>
  <si>
    <t>販売管理費</t>
  </si>
  <si>
    <t>営業キャッシュ・フロー計算上の注意点</t>
  </si>
  <si>
    <t>通常次期の売上債権の推定額は，前年の売上債権回転率を計算し</t>
  </si>
  <si>
    <t>この売上債権回転率（受取手形回転率，売掛金回転率）を基礎に</t>
  </si>
  <si>
    <t>計算します。</t>
  </si>
  <si>
    <t>しかし，売上債権回転率，売上債権回転日数という考え方が難しい</t>
  </si>
  <si>
    <t>ため，売上の増減割合を計算し，この割合を基礎に次期（計画期）の</t>
  </si>
  <si>
    <t>結果として，回転率，回転日数を基礎にして計算した結果と同じ</t>
  </si>
  <si>
    <t>棚卸資産も，上記の売上債権と同様の方法で計算しています。</t>
  </si>
  <si>
    <t>買入債務については，仕入高と買入債務で回転率，回転日数を</t>
  </si>
  <si>
    <t>計算し，この回転率，回転日数を基礎に次期（計画期）の金額を計算します。</t>
  </si>
  <si>
    <t>売上原価で計画を策定しているので，便宜的に，売上を基礎に計算</t>
  </si>
  <si>
    <t>上記のように簡便な方法で計算をしているため，この結果を正確に計算</t>
  </si>
  <si>
    <t>売上債権を決定しています。</t>
  </si>
  <si>
    <t>しかし，この利益・資金計画では，仕入ではなく，粗利益率を基礎に計算した</t>
  </si>
  <si>
    <t>した，増減割合（K3セル）で次期の金額を計算しています。</t>
  </si>
  <si>
    <t>するために，調整のためにK４～L８セルを用意しています。</t>
  </si>
  <si>
    <t>～</t>
  </si>
  <si>
    <t>受取利息配当金</t>
  </si>
  <si>
    <t>操作上の注意事項</t>
  </si>
  <si>
    <t>青いセルが入力部分です。黄色のセルは基本的に変更は不要ですが</t>
  </si>
  <si>
    <t>修正することは可能です。</t>
  </si>
  <si>
    <t>青又は黄色のセル以外は計算式又はタイトルが入力してありますので,</t>
  </si>
  <si>
    <t>壊さないように注意して下さい。</t>
  </si>
  <si>
    <t>各シートはA4様式で１枚に印刷できるように設定してあります。</t>
  </si>
  <si>
    <t>となっています。色をつける場合は,印刷プレビューで設定してください。</t>
  </si>
  <si>
    <t>入力セルがわかるように青と黄色で網掛してありますが,出力は白黒印刷</t>
  </si>
  <si>
    <t>売上予算シート,利益計画シートの右側に青のフォントで表示された表</t>
  </si>
  <si>
    <t>があります。各シートを計算するための計算項目として使用しています。</t>
  </si>
  <si>
    <t>修正したり,削除したりすると計算結果が変更になりますので注意して</t>
  </si>
  <si>
    <t>下さい。</t>
  </si>
  <si>
    <t>左下にファイル名が印刷されます。この印刷を解除するには,印刷プレビュー</t>
  </si>
  <si>
    <t>で設定を変更します。</t>
  </si>
  <si>
    <t>青のセルの部分だけ削除します。列,行単位で削除せずに,セルの中だけを削除します。通常は,Del キー　又は　Backspace キーを使います。</t>
  </si>
  <si>
    <t>売上予算シートで,商品別予算・月別予算を設定します。その後で,商品毎の重点販売方針を決定します。</t>
  </si>
  <si>
    <t>メニューシートで基本項目を設定（入力）します。</t>
  </si>
  <si>
    <t>利益計画シートで,昨年の実績（計画期の前の実績）を入力し,この金額を参考にしながら,利益計画を作成します。</t>
  </si>
  <si>
    <t>利益計画シートで,設定した固定費,変動費の割合から,月別の利益計画が自動計算されます。</t>
  </si>
  <si>
    <t>棚卸資産</t>
  </si>
  <si>
    <t>資金計画でキャッシュ・フローを計算します。最初が,営業キャッシュ・フローの計算です。</t>
  </si>
  <si>
    <t>資金計画シートのG3～G8に昨年（計画期の前の実績）の,売上高,受取手形,売掛金,棚卸資産,支払手形,買掛金を入力します。</t>
  </si>
  <si>
    <t>この入力結果から営業キャッシュ・フローが計算されます。修正・微調整が必要なときは,K4～L8のセルに入力してください。</t>
  </si>
  <si>
    <t>二番目が,投資キャッシュ・フローの計算です。利益計画シートの　G11～L11　の黄色又は青で網掛した部分に固定資産の取得,売却を入力します。</t>
  </si>
  <si>
    <t>最後が,財務キャッシュ・フローの計算です。利益計画シートの　F22～L29　の黄色又は青で網掛した部分に金融機関名,借入額,返済額を入力します。</t>
  </si>
  <si>
    <t>（単位：千円）</t>
  </si>
  <si>
    <t>壊さないで下さい→</t>
  </si>
  <si>
    <t>什器備品</t>
  </si>
  <si>
    <t>構築物</t>
  </si>
  <si>
    <t>土地</t>
  </si>
  <si>
    <t>建物</t>
  </si>
  <si>
    <t>土地・建物</t>
  </si>
  <si>
    <t>造作物</t>
  </si>
  <si>
    <t>機械装置</t>
  </si>
  <si>
    <t>機械</t>
  </si>
  <si>
    <t>車輌</t>
  </si>
  <si>
    <t>工具器具備品</t>
  </si>
  <si>
    <t>工具器具</t>
  </si>
  <si>
    <t>その他</t>
  </si>
  <si>
    <t>有価証券</t>
  </si>
  <si>
    <t>投資有価証券</t>
  </si>
  <si>
    <t>無形固定資産</t>
  </si>
  <si>
    <t>商品１</t>
  </si>
  <si>
    <t>商品２</t>
  </si>
  <si>
    <t>このまま自然増で売上が増加する。</t>
  </si>
  <si>
    <t>売上が大幅に減少する。</t>
  </si>
  <si>
    <t>重点的な得意先の売上を増加させる。</t>
  </si>
  <si>
    <t>プレス機</t>
  </si>
  <si>
    <t>軽貨物</t>
  </si>
  <si>
    <t>パソコン</t>
  </si>
  <si>
    <t>新規借入額</t>
  </si>
  <si>
    <t>金額となります。</t>
  </si>
  <si>
    <t>他は計画期のデータとなります。</t>
  </si>
  <si>
    <t>売上が減少する。</t>
  </si>
  <si>
    <t>現状の販売方針を継続する。</t>
  </si>
  <si>
    <t>現状の販売方針を継続する。</t>
  </si>
  <si>
    <t>各シートは管理上の観点から,印刷シートの左上に印刷時間,上にシート名</t>
  </si>
  <si>
    <t>××信用組合　殿</t>
  </si>
  <si>
    <t>投資ＣＦ調整額</t>
  </si>
  <si>
    <t>営業ＣＦ調整額</t>
  </si>
  <si>
    <t>経営者</t>
  </si>
  <si>
    <t>友人</t>
  </si>
  <si>
    <t>計画策定の手順</t>
  </si>
  <si>
    <r>
      <t>Ⅴ.現金の期首残高</t>
    </r>
    <r>
      <rPr>
        <sz val="11"/>
        <rFont val="ＭＳ Ｐ明朝"/>
        <family val="1"/>
      </rPr>
      <t xml:space="preserve"> 　※3</t>
    </r>
  </si>
  <si>
    <t>昨年実績※1</t>
  </si>
  <si>
    <t>※2　↑</t>
  </si>
  <si>
    <t>※2　G11，K11の明細はありません。購入価格をG13，K13セルに直接入力してください。</t>
  </si>
  <si>
    <t>※1　昨年実績だけは昨年のデータです。</t>
  </si>
  <si>
    <t>※3　現金預金の期首残高を　D29セルに　直接入力してください。</t>
  </si>
  <si>
    <t>株式会社　事例会社</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</si>
</sst>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年&quot;"/>
    <numFmt numFmtId="177" formatCode="General&quot;月&quot;"/>
    <numFmt numFmtId="178" formatCode="yyyy&quot;年&quot;"/>
    <numFmt numFmtId="179" formatCode="m&quot;月&quot;"/>
    <numFmt numFmtId="180" formatCode="0.0%"/>
    <numFmt numFmtId="181" formatCode="0.0000"/>
    <numFmt numFmtId="182" formatCode="0.00000"/>
    <numFmt numFmtId="183" formatCode="0.000000"/>
    <numFmt numFmtId="184" formatCode="0.0000000"/>
    <numFmt numFmtId="185" formatCode="0.00000000"/>
    <numFmt numFmtId="186" formatCode="0.000000000"/>
    <numFmt numFmtId="187" formatCode="0.0000000000"/>
    <numFmt numFmtId="188" formatCode="#,##0.0;[Red]\-#,##0.0"/>
    <numFmt numFmtId="189" formatCode="#,##0.000;[Red]\-#,##0.000"/>
    <numFmt numFmtId="190" formatCode="#,##0.0000;[Red]\-#,##0.0000"/>
    <numFmt numFmtId="191" formatCode="#,##0.00000;[Red]\-#,##0.00000"/>
    <numFmt numFmtId="192" formatCode="#,##0.000000;[Red]\-#,##0.000000"/>
    <numFmt numFmtId="193" formatCode="#,##0;&quot;▲ &quot;#,##0"/>
    <numFmt numFmtId="194" formatCode="#,##0;&quot;[赤]▲ &quot;#,##0"/>
    <numFmt numFmtId="195" formatCode="#,##0;[Red]&quot;▲&quot;#,##0"/>
    <numFmt numFmtId="196" formatCode="&quot;第&quot;General"/>
    <numFmt numFmtId="197" formatCode="yyyy&quot;年&quot;mm&quot;月&quot;"/>
  </numFmts>
  <fonts count="38">
    <font>
      <sz val="11"/>
      <name val="ＭＳ Ｐ明朝"/>
      <family val="1"/>
    </font>
    <font>
      <sz val="6"/>
      <name val="ＭＳ Ｐ明朝"/>
      <family val="1"/>
    </font>
    <font>
      <sz val="14"/>
      <name val="ＭＳ Ｐ明朝"/>
      <family val="1"/>
    </font>
    <font>
      <sz val="14"/>
      <color indexed="10"/>
      <name val="HGP創英角ﾎﾟｯﾌﾟ体"/>
      <family val="3"/>
    </font>
    <font>
      <u val="single"/>
      <sz val="11"/>
      <color indexed="12"/>
      <name val="ＭＳ Ｐゴシック"/>
      <family val="3"/>
    </font>
    <font>
      <u val="single"/>
      <sz val="11"/>
      <color indexed="36"/>
      <name val="ＭＳ Ｐ明朝"/>
      <family val="1"/>
    </font>
    <font>
      <b/>
      <sz val="11"/>
      <name val="ＭＳ Ｐ明朝"/>
      <family val="1"/>
    </font>
    <font>
      <sz val="10"/>
      <name val="ＭＳ Ｐ明朝"/>
      <family val="1"/>
    </font>
    <font>
      <sz val="9"/>
      <name val="ＭＳ Ｐゴシック"/>
      <family val="3"/>
    </font>
    <font>
      <b/>
      <sz val="9"/>
      <name val="ＭＳ Ｐゴシック"/>
      <family val="3"/>
    </font>
    <font>
      <sz val="22"/>
      <name val="ＭＳ Ｐ明朝"/>
      <family val="1"/>
    </font>
    <font>
      <sz val="11"/>
      <color indexed="12"/>
      <name val="ＭＳ Ｐ明朝"/>
      <family val="1"/>
    </font>
    <font>
      <b/>
      <sz val="11"/>
      <color indexed="12"/>
      <name val="ＭＳ Ｐ明朝"/>
      <family val="1"/>
    </font>
    <font>
      <sz val="20"/>
      <name val="ＭＳ Ｐ明朝"/>
      <family val="1"/>
    </font>
    <font>
      <sz val="28"/>
      <name val="ＭＳ Ｐ明朝"/>
      <family val="1"/>
    </font>
    <font>
      <sz val="18"/>
      <name val="ＭＳ Ｐ明朝"/>
      <family val="1"/>
    </font>
    <font>
      <b/>
      <sz val="11"/>
      <color indexed="12"/>
      <name val="ＭＳ Ｐゴシック"/>
      <family val="3"/>
    </font>
    <font>
      <sz val="12"/>
      <color indexed="8"/>
      <name val="ＭＳ Ｐ明朝"/>
      <family val="1"/>
    </font>
    <font>
      <sz val="11"/>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b/>
      <sz val="8"/>
      <name val="ＭＳ Ｐ明朝"/>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hair"/>
      <top>
        <color indexed="63"/>
      </top>
      <bottom style="hair"/>
    </border>
    <border>
      <left style="hair"/>
      <right>
        <color indexed="63"/>
      </right>
      <top style="thin"/>
      <bottom style="hair"/>
    </border>
    <border>
      <left>
        <color indexed="63"/>
      </left>
      <right style="thin"/>
      <top style="thin"/>
      <bottom>
        <color indexed="63"/>
      </bottom>
    </border>
    <border>
      <left>
        <color indexed="63"/>
      </left>
      <right style="hair"/>
      <top style="thin"/>
      <bottom style="thin"/>
    </border>
    <border>
      <left style="hair"/>
      <right style="hair"/>
      <top style="thin"/>
      <bottom style="thin"/>
    </border>
    <border>
      <left style="hair"/>
      <right style="thin"/>
      <top style="thin"/>
      <bottom style="thin"/>
    </border>
    <border>
      <left style="hair"/>
      <right style="hair"/>
      <top style="hair"/>
      <bottom style="hair"/>
    </border>
    <border>
      <left style="hair"/>
      <right style="thin"/>
      <top>
        <color indexed="63"/>
      </top>
      <bottom>
        <color indexed="63"/>
      </bottom>
    </border>
    <border>
      <left style="hair"/>
      <right style="hair"/>
      <top>
        <color indexed="63"/>
      </top>
      <bottom style="hair"/>
    </border>
    <border>
      <left style="hair"/>
      <right style="thin"/>
      <top>
        <color indexed="63"/>
      </top>
      <bottom style="hair"/>
    </border>
    <border>
      <left style="thin"/>
      <right style="thin"/>
      <top style="hair"/>
      <bottom style="hair"/>
    </border>
    <border>
      <left style="thin"/>
      <right style="thin"/>
      <top style="hair"/>
      <bottom style="thin"/>
    </border>
    <border>
      <left style="hair"/>
      <right style="hair"/>
      <top style="hair"/>
      <bottom style="thin"/>
    </border>
    <border>
      <left style="hair"/>
      <right>
        <color indexed="63"/>
      </right>
      <top style="hair"/>
      <bottom style="thin"/>
    </border>
    <border>
      <left style="hair"/>
      <right>
        <color indexed="63"/>
      </right>
      <top style="thin"/>
      <bottom style="thin"/>
    </border>
    <border>
      <left style="thin"/>
      <right style="hair"/>
      <top style="thin"/>
      <bottom style="thin"/>
    </border>
    <border>
      <left>
        <color indexed="63"/>
      </left>
      <right style="thin"/>
      <top>
        <color indexed="63"/>
      </top>
      <bottom>
        <color indexed="63"/>
      </bottom>
    </border>
    <border>
      <left style="hair"/>
      <right style="thin"/>
      <top style="hair"/>
      <bottom style="hair"/>
    </border>
    <border>
      <left style="hair"/>
      <right style="thin"/>
      <top style="hair"/>
      <bottom style="thin"/>
    </border>
    <border>
      <left style="hair"/>
      <right>
        <color indexed="63"/>
      </right>
      <top style="hair"/>
      <bottom style="hair"/>
    </border>
    <border>
      <left>
        <color indexed="63"/>
      </left>
      <right style="hair"/>
      <top>
        <color indexed="63"/>
      </top>
      <bottom>
        <color indexed="63"/>
      </bottom>
    </border>
    <border>
      <left style="thin"/>
      <right style="thin"/>
      <top style="thin"/>
      <bottom style="thin"/>
    </border>
    <border>
      <left style="thin"/>
      <right style="thin"/>
      <top style="thin"/>
      <bottom style="hair"/>
    </border>
    <border>
      <left style="thin"/>
      <right>
        <color indexed="63"/>
      </right>
      <top style="hair"/>
      <bottom style="hair"/>
    </border>
    <border>
      <left style="thin"/>
      <right style="thin"/>
      <top style="hair"/>
      <bottom>
        <color indexed="63"/>
      </bottom>
    </border>
    <border>
      <left>
        <color indexed="63"/>
      </left>
      <right style="hair"/>
      <top style="thin"/>
      <bottom style="hair"/>
    </border>
    <border>
      <left style="hair"/>
      <right style="hair"/>
      <top style="thin"/>
      <bottom style="hair"/>
    </border>
    <border>
      <left style="hair"/>
      <right style="thin"/>
      <top style="thin"/>
      <bottom style="hair"/>
    </border>
    <border>
      <left>
        <color indexed="63"/>
      </left>
      <right style="hair"/>
      <top style="hair"/>
      <bottom style="thin"/>
    </border>
    <border>
      <left style="thin"/>
      <right style="thin"/>
      <top>
        <color indexed="63"/>
      </top>
      <bottom style="hair"/>
    </border>
    <border>
      <left>
        <color indexed="63"/>
      </left>
      <right style="thin"/>
      <top style="thin"/>
      <bottom style="thin"/>
    </border>
    <border>
      <left>
        <color indexed="63"/>
      </left>
      <right style="thin"/>
      <top>
        <color indexed="63"/>
      </top>
      <bottom style="hair"/>
    </border>
    <border>
      <left>
        <color indexed="63"/>
      </left>
      <right style="thin"/>
      <top style="hair"/>
      <bottom style="hair"/>
    </border>
    <border>
      <left>
        <color indexed="63"/>
      </left>
      <right style="thin"/>
      <top style="hair"/>
      <bottom>
        <color indexed="63"/>
      </bottom>
    </border>
    <border>
      <left>
        <color indexed="63"/>
      </left>
      <right style="thin"/>
      <top>
        <color indexed="63"/>
      </top>
      <bottom style="thin"/>
    </border>
    <border>
      <left>
        <color indexed="63"/>
      </left>
      <right style="thin"/>
      <top style="hair"/>
      <bottom style="thin"/>
    </border>
    <border>
      <left>
        <color indexed="63"/>
      </left>
      <right style="hair"/>
      <top style="hair"/>
      <bottom style="hair"/>
    </border>
    <border>
      <left style="thin"/>
      <right style="hair"/>
      <top style="hair"/>
      <bottom>
        <color indexed="63"/>
      </bottom>
    </border>
    <border>
      <left style="thin"/>
      <right>
        <color indexed="63"/>
      </right>
      <top style="thin"/>
      <bottom style="hair"/>
    </border>
    <border>
      <left style="thin"/>
      <right>
        <color indexed="63"/>
      </right>
      <top style="hair"/>
      <bottom style="thin"/>
    </border>
    <border>
      <left style="thin"/>
      <right>
        <color indexed="63"/>
      </right>
      <top>
        <color indexed="63"/>
      </top>
      <bottom style="hair"/>
    </border>
    <border>
      <left>
        <color indexed="63"/>
      </left>
      <right style="hair"/>
      <top>
        <color indexed="63"/>
      </top>
      <bottom style="hair"/>
    </border>
    <border>
      <left style="thin"/>
      <right>
        <color indexed="63"/>
      </right>
      <top style="thin"/>
      <bottom style="thin"/>
    </border>
    <border>
      <left style="medium"/>
      <right style="medium"/>
      <top style="medium"/>
      <bottom style="thin"/>
    </border>
    <border>
      <left style="thin"/>
      <right>
        <color indexed="63"/>
      </right>
      <top>
        <color indexed="63"/>
      </top>
      <bottom>
        <color indexed="63"/>
      </bottom>
    </border>
    <border>
      <left>
        <color indexed="63"/>
      </left>
      <right style="hair"/>
      <top style="hair"/>
      <bottom>
        <color indexed="63"/>
      </bottom>
    </border>
    <border>
      <left style="hair"/>
      <right style="hair"/>
      <top style="hair"/>
      <bottom>
        <color indexed="63"/>
      </bottom>
    </border>
    <border>
      <left>
        <color indexed="63"/>
      </left>
      <right>
        <color indexed="63"/>
      </right>
      <top>
        <color indexed="63"/>
      </top>
      <bottom style="thin"/>
    </border>
    <border>
      <left style="medium"/>
      <right style="medium"/>
      <top>
        <color indexed="63"/>
      </top>
      <bottom style="hair"/>
    </border>
    <border>
      <left style="medium"/>
      <right style="medium"/>
      <top style="hair"/>
      <bottom style="hair"/>
    </border>
    <border>
      <left style="medium"/>
      <right style="medium"/>
      <top style="hair"/>
      <bottom style="medium"/>
    </border>
    <border>
      <left style="hair"/>
      <right>
        <color indexed="63"/>
      </right>
      <top>
        <color indexed="63"/>
      </top>
      <bottom style="hair"/>
    </border>
    <border>
      <left style="hair"/>
      <right>
        <color indexed="63"/>
      </right>
      <top style="hair"/>
      <bottom>
        <color indexed="63"/>
      </bottom>
    </border>
    <border>
      <left style="hair"/>
      <right style="thin"/>
      <top style="hair"/>
      <bottom>
        <color indexed="63"/>
      </bottom>
    </border>
    <border>
      <left style="thin"/>
      <right style="thin"/>
      <top>
        <color indexed="63"/>
      </top>
      <bottom style="thin"/>
    </border>
    <border>
      <left>
        <color indexed="63"/>
      </left>
      <right>
        <color indexed="63"/>
      </right>
      <top style="hair"/>
      <bottom style="hair"/>
    </border>
    <border>
      <left style="thin"/>
      <right style="thin"/>
      <top style="thin"/>
      <bottom>
        <color indexed="63"/>
      </bottom>
    </border>
    <border>
      <left style="thin"/>
      <right style="thin"/>
      <top>
        <color indexed="63"/>
      </top>
      <bottom>
        <color indexed="63"/>
      </bottom>
    </border>
    <border>
      <left>
        <color indexed="63"/>
      </left>
      <right>
        <color indexed="63"/>
      </right>
      <top style="hair"/>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5" fillId="0" borderId="0" applyNumberFormat="0" applyFill="0" applyBorder="0" applyAlignment="0" applyProtection="0"/>
    <xf numFmtId="0" fontId="35" fillId="4" borderId="0" applyNumberFormat="0" applyBorder="0" applyAlignment="0" applyProtection="0"/>
  </cellStyleXfs>
  <cellXfs count="346">
    <xf numFmtId="0" fontId="0" fillId="0" borderId="0" xfId="0" applyAlignment="1">
      <alignment/>
    </xf>
    <xf numFmtId="0" fontId="0" fillId="0" borderId="0" xfId="0" applyFill="1" applyAlignment="1">
      <alignment vertical="center"/>
    </xf>
    <xf numFmtId="0" fontId="0" fillId="0" borderId="0" xfId="0" applyFill="1" applyAlignment="1">
      <alignment/>
    </xf>
    <xf numFmtId="0" fontId="0" fillId="0" borderId="0" xfId="0" applyFill="1" applyAlignment="1">
      <alignment shrinkToFit="1"/>
    </xf>
    <xf numFmtId="177" fontId="2" fillId="0" borderId="0" xfId="0" applyNumberFormat="1" applyFont="1" applyFill="1" applyAlignment="1">
      <alignment horizontal="center" vertical="center"/>
    </xf>
    <xf numFmtId="0" fontId="0" fillId="0" borderId="0" xfId="0" applyFill="1" applyAlignment="1">
      <alignment horizontal="center" vertical="center"/>
    </xf>
    <xf numFmtId="0" fontId="0" fillId="0" borderId="0" xfId="0" applyNumberFormat="1" applyFont="1" applyFill="1" applyAlignment="1" applyProtection="1">
      <alignment vertical="center"/>
      <protection locked="0"/>
    </xf>
    <xf numFmtId="0" fontId="0" fillId="0" borderId="0" xfId="0" applyFill="1" applyAlignment="1">
      <alignment vertical="center" shrinkToFit="1"/>
    </xf>
    <xf numFmtId="0" fontId="0" fillId="0" borderId="0" xfId="0" applyFont="1" applyFill="1" applyAlignment="1">
      <alignment vertical="center"/>
    </xf>
    <xf numFmtId="0" fontId="0" fillId="0" borderId="0" xfId="0" applyFill="1" applyAlignment="1">
      <alignment horizontal="center" shrinkToFit="1"/>
    </xf>
    <xf numFmtId="38" fontId="0" fillId="0" borderId="10" xfId="49" applyFont="1" applyFill="1" applyBorder="1" applyAlignment="1" applyProtection="1">
      <alignment vertical="center" shrinkToFit="1"/>
      <protection/>
    </xf>
    <xf numFmtId="38" fontId="0" fillId="0" borderId="11" xfId="49" applyFont="1" applyFill="1" applyBorder="1" applyAlignment="1" applyProtection="1">
      <alignment vertical="center" shrinkToFit="1"/>
      <protection/>
    </xf>
    <xf numFmtId="38" fontId="0" fillId="0" borderId="11" xfId="49" applyFont="1" applyFill="1" applyBorder="1" applyAlignment="1" applyProtection="1">
      <alignment horizontal="left" vertical="center" indent="1" shrinkToFit="1"/>
      <protection/>
    </xf>
    <xf numFmtId="38" fontId="0" fillId="0" borderId="12" xfId="49" applyFont="1" applyFill="1" applyBorder="1" applyAlignment="1" applyProtection="1">
      <alignment vertical="center" shrinkToFit="1"/>
      <protection/>
    </xf>
    <xf numFmtId="38" fontId="0" fillId="0" borderId="13" xfId="49" applyFont="1" applyFill="1" applyBorder="1" applyAlignment="1" applyProtection="1">
      <alignment vertical="center" shrinkToFit="1"/>
      <protection/>
    </xf>
    <xf numFmtId="0" fontId="0" fillId="0" borderId="14" xfId="0" applyFill="1" applyBorder="1" applyAlignment="1">
      <alignment vertical="center" shrinkToFit="1"/>
    </xf>
    <xf numFmtId="0" fontId="0" fillId="0" borderId="15" xfId="0" applyFill="1" applyBorder="1" applyAlignment="1">
      <alignment vertical="center" shrinkToFit="1"/>
    </xf>
    <xf numFmtId="0" fontId="0" fillId="0" borderId="16" xfId="0"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11" xfId="0" applyFill="1" applyBorder="1" applyAlignment="1">
      <alignment horizontal="left" vertical="center" indent="1" shrinkToFit="1"/>
    </xf>
    <xf numFmtId="195" fontId="0" fillId="0" borderId="19" xfId="0" applyNumberFormat="1" applyFill="1" applyBorder="1" applyAlignment="1">
      <alignment vertical="center" shrinkToFit="1"/>
    </xf>
    <xf numFmtId="195" fontId="0" fillId="0" borderId="20" xfId="0" applyNumberFormat="1" applyFill="1" applyBorder="1" applyAlignment="1">
      <alignment vertical="center" shrinkToFit="1"/>
    </xf>
    <xf numFmtId="195" fontId="0" fillId="0" borderId="21" xfId="0" applyNumberFormat="1" applyFill="1" applyBorder="1" applyAlignment="1">
      <alignment vertical="center" shrinkToFit="1"/>
    </xf>
    <xf numFmtId="195" fontId="0" fillId="0" borderId="21" xfId="0" applyNumberFormat="1" applyFill="1" applyBorder="1" applyAlignment="1">
      <alignment horizontal="center" vertical="center" shrinkToFit="1"/>
    </xf>
    <xf numFmtId="195" fontId="0" fillId="0" borderId="22" xfId="0" applyNumberFormat="1" applyFill="1" applyBorder="1" applyAlignment="1">
      <alignment horizontal="center" vertical="center" shrinkToFit="1"/>
    </xf>
    <xf numFmtId="0" fontId="0" fillId="0" borderId="23" xfId="0" applyFill="1" applyBorder="1" applyAlignment="1">
      <alignment vertical="center" shrinkToFit="1"/>
    </xf>
    <xf numFmtId="0" fontId="0" fillId="0" borderId="24" xfId="0" applyFill="1" applyBorder="1" applyAlignment="1">
      <alignment vertical="center" shrinkToFit="1"/>
    </xf>
    <xf numFmtId="195" fontId="0" fillId="0" borderId="25" xfId="0" applyNumberFormat="1" applyFill="1" applyBorder="1" applyAlignment="1">
      <alignment vertical="center" shrinkToFit="1"/>
    </xf>
    <xf numFmtId="195" fontId="0" fillId="0" borderId="20" xfId="49" applyNumberFormat="1" applyFont="1" applyFill="1" applyBorder="1" applyAlignment="1">
      <alignment vertical="center" shrinkToFit="1"/>
    </xf>
    <xf numFmtId="38" fontId="0" fillId="0" borderId="12" xfId="49" applyFont="1" applyFill="1" applyBorder="1" applyAlignment="1" applyProtection="1">
      <alignment horizontal="left" vertical="center" indent="1" shrinkToFit="1"/>
      <protection/>
    </xf>
    <xf numFmtId="0" fontId="0" fillId="0" borderId="26" xfId="0" applyFill="1" applyBorder="1" applyAlignment="1">
      <alignment vertical="center" shrinkToFit="1"/>
    </xf>
    <xf numFmtId="0" fontId="0" fillId="0" borderId="27" xfId="0" applyFill="1" applyBorder="1" applyAlignment="1">
      <alignment horizontal="center" vertical="center" shrinkToFit="1"/>
    </xf>
    <xf numFmtId="195" fontId="0" fillId="0" borderId="15" xfId="49" applyNumberFormat="1" applyFont="1" applyFill="1" applyBorder="1" applyAlignment="1">
      <alignment vertical="center" shrinkToFit="1"/>
    </xf>
    <xf numFmtId="0" fontId="0" fillId="0" borderId="28" xfId="0" applyFill="1" applyBorder="1" applyAlignment="1">
      <alignment horizontal="center" vertical="center" shrinkToFit="1"/>
    </xf>
    <xf numFmtId="0" fontId="0" fillId="0" borderId="29" xfId="0" applyFill="1" applyBorder="1" applyAlignment="1">
      <alignment vertical="center"/>
    </xf>
    <xf numFmtId="195" fontId="0" fillId="0" borderId="26" xfId="49" applyNumberFormat="1" applyFont="1" applyFill="1" applyBorder="1" applyAlignment="1">
      <alignment vertical="center" shrinkToFit="1"/>
    </xf>
    <xf numFmtId="195" fontId="0" fillId="0" borderId="14" xfId="49" applyNumberFormat="1" applyFont="1" applyFill="1" applyBorder="1" applyAlignment="1">
      <alignment vertical="center" shrinkToFit="1"/>
    </xf>
    <xf numFmtId="0" fontId="7" fillId="0" borderId="0" xfId="0" applyNumberFormat="1" applyFont="1" applyFill="1" applyAlignment="1" applyProtection="1">
      <alignment vertical="center"/>
      <protection locked="0"/>
    </xf>
    <xf numFmtId="0" fontId="0" fillId="0" borderId="30" xfId="0" applyFill="1" applyBorder="1" applyAlignment="1">
      <alignment horizontal="center" vertical="center" shrinkToFit="1"/>
    </xf>
    <xf numFmtId="195" fontId="0" fillId="0" borderId="30" xfId="0" applyNumberFormat="1" applyFill="1" applyBorder="1" applyAlignment="1">
      <alignment vertical="center" shrinkToFit="1"/>
    </xf>
    <xf numFmtId="195" fontId="0" fillId="0" borderId="31" xfId="0" applyNumberFormat="1" applyFill="1" applyBorder="1" applyAlignment="1">
      <alignment vertical="center" shrinkToFit="1"/>
    </xf>
    <xf numFmtId="195" fontId="0" fillId="0" borderId="32" xfId="49" applyNumberFormat="1" applyFont="1" applyFill="1" applyBorder="1" applyAlignment="1">
      <alignment vertical="center" shrinkToFit="1"/>
    </xf>
    <xf numFmtId="0" fontId="0" fillId="0" borderId="0" xfId="0" applyFill="1" applyBorder="1" applyAlignment="1">
      <alignment vertical="center"/>
    </xf>
    <xf numFmtId="0" fontId="7" fillId="0" borderId="33" xfId="49" applyNumberFormat="1" applyFont="1" applyFill="1" applyBorder="1" applyAlignment="1" applyProtection="1">
      <alignment vertical="center"/>
      <protection locked="0"/>
    </xf>
    <xf numFmtId="180" fontId="0" fillId="0" borderId="34" xfId="42" applyNumberFormat="1" applyFont="1" applyFill="1" applyBorder="1" applyAlignment="1">
      <alignment horizontal="center" vertical="center" shrinkToFit="1"/>
    </xf>
    <xf numFmtId="0" fontId="2" fillId="0" borderId="0" xfId="0" applyFont="1" applyFill="1" applyAlignment="1">
      <alignment vertical="center"/>
    </xf>
    <xf numFmtId="0" fontId="0" fillId="0" borderId="0" xfId="0" applyBorder="1" applyAlignment="1">
      <alignment/>
    </xf>
    <xf numFmtId="0" fontId="2" fillId="0" borderId="0" xfId="0" applyFont="1" applyAlignment="1">
      <alignment horizontal="centerContinuous" vertical="center"/>
    </xf>
    <xf numFmtId="0" fontId="10" fillId="0" borderId="0" xfId="0" applyFont="1" applyAlignment="1">
      <alignment/>
    </xf>
    <xf numFmtId="0" fontId="0" fillId="0" borderId="35" xfId="0" applyBorder="1" applyAlignment="1">
      <alignment horizontal="left" vertical="center" indent="1"/>
    </xf>
    <xf numFmtId="0" fontId="0" fillId="0" borderId="23" xfId="0" applyBorder="1" applyAlignment="1">
      <alignment horizontal="left" vertical="center" indent="1"/>
    </xf>
    <xf numFmtId="38" fontId="0" fillId="24" borderId="36" xfId="49" applyFont="1" applyFill="1" applyBorder="1" applyAlignment="1">
      <alignment horizontal="right" vertical="center" shrinkToFit="1"/>
    </xf>
    <xf numFmtId="0" fontId="0" fillId="0" borderId="0" xfId="0" applyAlignment="1">
      <alignment vertical="center"/>
    </xf>
    <xf numFmtId="0" fontId="0" fillId="24" borderId="36" xfId="0" applyFill="1" applyBorder="1" applyAlignment="1">
      <alignment horizontal="right" vertical="center" shrinkToFit="1"/>
    </xf>
    <xf numFmtId="0" fontId="0" fillId="0" borderId="37" xfId="0" applyBorder="1" applyAlignment="1">
      <alignment horizontal="left" vertical="center" indent="1"/>
    </xf>
    <xf numFmtId="0" fontId="0" fillId="0" borderId="0" xfId="0" applyAlignment="1">
      <alignment horizontal="centerContinuous" vertical="center"/>
    </xf>
    <xf numFmtId="0" fontId="10" fillId="0" borderId="0" xfId="0" applyFont="1" applyFill="1" applyAlignment="1">
      <alignment/>
    </xf>
    <xf numFmtId="0" fontId="10" fillId="0" borderId="0" xfId="0" applyFont="1" applyFill="1" applyAlignment="1">
      <alignment vertical="center"/>
    </xf>
    <xf numFmtId="0" fontId="11" fillId="0" borderId="0" xfId="0" applyFont="1" applyFill="1" applyBorder="1" applyAlignment="1">
      <alignment vertical="center" shrinkToFit="1"/>
    </xf>
    <xf numFmtId="0" fontId="11" fillId="0" borderId="0" xfId="0" applyFont="1" applyFill="1" applyBorder="1" applyAlignment="1">
      <alignment vertical="center"/>
    </xf>
    <xf numFmtId="55" fontId="2" fillId="0" borderId="0" xfId="0" applyNumberFormat="1" applyFont="1" applyFill="1" applyAlignment="1">
      <alignment horizontal="center" vertical="center"/>
    </xf>
    <xf numFmtId="0" fontId="0" fillId="0" borderId="0" xfId="0" applyAlignment="1">
      <alignment horizontal="center"/>
    </xf>
    <xf numFmtId="0" fontId="0" fillId="0" borderId="0" xfId="0" applyAlignment="1">
      <alignment shrinkToFit="1"/>
    </xf>
    <xf numFmtId="0" fontId="2" fillId="0" borderId="0" xfId="0" applyFont="1" applyAlignment="1">
      <alignment/>
    </xf>
    <xf numFmtId="0" fontId="13" fillId="0" borderId="0" xfId="0" applyFont="1" applyAlignment="1">
      <alignment/>
    </xf>
    <xf numFmtId="0" fontId="0" fillId="0" borderId="0" xfId="0" applyBorder="1" applyAlignment="1">
      <alignment horizontal="center"/>
    </xf>
    <xf numFmtId="0" fontId="0" fillId="24" borderId="0" xfId="0" applyFill="1" applyBorder="1" applyAlignment="1">
      <alignment horizontal="center" vertical="center"/>
    </xf>
    <xf numFmtId="178" fontId="0" fillId="0" borderId="38" xfId="0" applyNumberFormat="1" applyFill="1" applyBorder="1" applyAlignment="1">
      <alignment horizontal="center" vertical="center" shrinkToFit="1"/>
    </xf>
    <xf numFmtId="178" fontId="0" fillId="0" borderId="39" xfId="0" applyNumberFormat="1" applyFill="1" applyBorder="1" applyAlignment="1">
      <alignment horizontal="center" vertical="center" shrinkToFit="1"/>
    </xf>
    <xf numFmtId="178" fontId="0" fillId="0" borderId="40" xfId="0" applyNumberFormat="1" applyFill="1" applyBorder="1" applyAlignment="1">
      <alignment horizontal="center" vertical="center" shrinkToFit="1"/>
    </xf>
    <xf numFmtId="179" fontId="0" fillId="0" borderId="41" xfId="0" applyNumberFormat="1" applyFill="1" applyBorder="1" applyAlignment="1">
      <alignment horizontal="center" vertical="center" shrinkToFit="1"/>
    </xf>
    <xf numFmtId="179" fontId="0" fillId="0" borderId="25" xfId="0" applyNumberFormat="1" applyFill="1" applyBorder="1" applyAlignment="1">
      <alignment horizontal="center" vertical="center" shrinkToFit="1"/>
    </xf>
    <xf numFmtId="179" fontId="0" fillId="0" borderId="31" xfId="0" applyNumberFormat="1" applyFill="1" applyBorder="1" applyAlignment="1">
      <alignment horizontal="center" vertical="center" shrinkToFit="1"/>
    </xf>
    <xf numFmtId="0" fontId="0" fillId="0" borderId="42" xfId="0" applyFill="1" applyBorder="1" applyAlignment="1">
      <alignment horizontal="center" vertical="center" shrinkToFit="1"/>
    </xf>
    <xf numFmtId="38" fontId="0" fillId="0" borderId="22" xfId="49" applyFont="1" applyFill="1" applyBorder="1" applyAlignment="1">
      <alignment vertical="center" shrinkToFit="1"/>
    </xf>
    <xf numFmtId="38" fontId="0" fillId="0" borderId="0" xfId="0" applyNumberFormat="1" applyFill="1" applyAlignment="1">
      <alignment vertical="center" shrinkToFit="1"/>
    </xf>
    <xf numFmtId="0" fontId="0" fillId="0" borderId="23" xfId="0" applyFill="1" applyBorder="1" applyAlignment="1">
      <alignment horizontal="center" vertical="center" shrinkToFit="1"/>
    </xf>
    <xf numFmtId="0" fontId="0" fillId="0" borderId="37" xfId="0" applyFill="1" applyBorder="1" applyAlignment="1">
      <alignment horizontal="center" vertical="center" shrinkToFit="1"/>
    </xf>
    <xf numFmtId="38" fontId="0" fillId="0" borderId="43" xfId="49" applyFont="1" applyFill="1" applyBorder="1" applyAlignment="1">
      <alignment vertical="center" shrinkToFit="1"/>
    </xf>
    <xf numFmtId="38" fontId="0" fillId="0" borderId="16" xfId="49" applyFont="1" applyFill="1" applyBorder="1" applyAlignment="1">
      <alignment vertical="center" shrinkToFit="1"/>
    </xf>
    <xf numFmtId="38" fontId="0" fillId="0" borderId="17" xfId="49" applyFont="1" applyFill="1" applyBorder="1" applyAlignment="1">
      <alignment vertical="center" shrinkToFit="1"/>
    </xf>
    <xf numFmtId="38" fontId="0" fillId="0" borderId="18" xfId="49" applyFont="1" applyFill="1" applyBorder="1" applyAlignment="1">
      <alignment vertical="center" shrinkToFit="1"/>
    </xf>
    <xf numFmtId="0" fontId="3" fillId="0" borderId="0" xfId="0" applyFont="1" applyFill="1" applyAlignment="1">
      <alignment vertical="center"/>
    </xf>
    <xf numFmtId="176" fontId="0" fillId="0" borderId="18" xfId="0" applyNumberFormat="1" applyFont="1" applyFill="1" applyBorder="1" applyAlignment="1">
      <alignment horizontal="center" vertical="center"/>
    </xf>
    <xf numFmtId="0" fontId="0" fillId="0" borderId="13" xfId="0" applyFill="1" applyBorder="1" applyAlignment="1">
      <alignment horizontal="center" vertical="center" shrinkToFit="1"/>
    </xf>
    <xf numFmtId="0" fontId="0" fillId="0" borderId="22" xfId="0" applyFill="1" applyBorder="1" applyAlignment="1">
      <alignment vertical="center" shrinkToFit="1"/>
    </xf>
    <xf numFmtId="0" fontId="0" fillId="0" borderId="11" xfId="0" applyFill="1" applyBorder="1" applyAlignment="1">
      <alignment horizontal="center" vertical="center" shrinkToFit="1"/>
    </xf>
    <xf numFmtId="0" fontId="0" fillId="0" borderId="30" xfId="0" applyFill="1" applyBorder="1" applyAlignment="1">
      <alignment vertical="center" shrinkToFit="1"/>
    </xf>
    <xf numFmtId="0" fontId="0" fillId="0" borderId="12" xfId="0" applyFill="1" applyBorder="1" applyAlignment="1">
      <alignment horizontal="center" vertical="center" shrinkToFit="1"/>
    </xf>
    <xf numFmtId="0" fontId="0" fillId="0" borderId="31" xfId="0" applyFill="1" applyBorder="1" applyAlignment="1">
      <alignment vertical="center" shrinkToFit="1"/>
    </xf>
    <xf numFmtId="0" fontId="0" fillId="24" borderId="44" xfId="0" applyFill="1" applyBorder="1" applyAlignment="1">
      <alignment vertical="center" shrinkToFit="1"/>
    </xf>
    <xf numFmtId="0" fontId="0" fillId="24" borderId="45" xfId="0" applyFill="1" applyBorder="1" applyAlignment="1">
      <alignment vertical="center" shrinkToFit="1"/>
    </xf>
    <xf numFmtId="0" fontId="0" fillId="24" borderId="46" xfId="0" applyFill="1" applyBorder="1" applyAlignment="1">
      <alignment vertical="center" shrinkToFit="1"/>
    </xf>
    <xf numFmtId="180" fontId="0" fillId="0" borderId="21" xfId="42" applyNumberFormat="1" applyFont="1" applyFill="1" applyBorder="1" applyAlignment="1">
      <alignment horizontal="center" vertical="center" shrinkToFit="1"/>
    </xf>
    <xf numFmtId="195" fontId="0" fillId="0" borderId="19" xfId="0" applyNumberFormat="1" applyFill="1" applyBorder="1" applyAlignment="1">
      <alignment horizontal="center" vertical="center" shrinkToFit="1"/>
    </xf>
    <xf numFmtId="195" fontId="0" fillId="0" borderId="25" xfId="0" applyNumberFormat="1" applyFill="1" applyBorder="1" applyAlignment="1">
      <alignment horizontal="center" vertical="center" shrinkToFit="1"/>
    </xf>
    <xf numFmtId="195" fontId="0" fillId="0" borderId="19" xfId="49" applyNumberFormat="1" applyFont="1" applyFill="1" applyBorder="1" applyAlignment="1">
      <alignment vertical="center" shrinkToFit="1"/>
    </xf>
    <xf numFmtId="195" fontId="0" fillId="0" borderId="47" xfId="49" applyNumberFormat="1" applyFont="1" applyFill="1" applyBorder="1" applyAlignment="1">
      <alignment vertical="center" shrinkToFit="1"/>
    </xf>
    <xf numFmtId="195" fontId="0" fillId="0" borderId="44" xfId="49" applyNumberFormat="1" applyFont="1" applyFill="1" applyBorder="1" applyAlignment="1">
      <alignment vertical="center" shrinkToFit="1"/>
    </xf>
    <xf numFmtId="195" fontId="0" fillId="0" borderId="48" xfId="49" applyNumberFormat="1" applyFont="1" applyFill="1" applyBorder="1" applyAlignment="1">
      <alignment vertical="center" shrinkToFit="1"/>
    </xf>
    <xf numFmtId="0" fontId="0" fillId="25" borderId="16" xfId="0" applyFill="1" applyBorder="1" applyAlignment="1">
      <alignment horizontal="center" vertical="center" shrinkToFit="1"/>
    </xf>
    <xf numFmtId="0" fontId="0" fillId="25" borderId="17" xfId="0" applyFill="1" applyBorder="1" applyAlignment="1">
      <alignment horizontal="center" vertical="center" shrinkToFit="1"/>
    </xf>
    <xf numFmtId="0" fontId="0" fillId="25" borderId="27" xfId="0" applyFill="1" applyBorder="1" applyAlignment="1">
      <alignment horizontal="center" vertical="center" shrinkToFit="1"/>
    </xf>
    <xf numFmtId="0" fontId="0" fillId="25" borderId="49" xfId="0" applyFill="1" applyBorder="1" applyAlignment="1">
      <alignment horizontal="center" vertical="center" shrinkToFit="1"/>
    </xf>
    <xf numFmtId="0" fontId="0" fillId="25" borderId="19" xfId="0" applyFill="1" applyBorder="1" applyAlignment="1">
      <alignment horizontal="center" vertical="center" shrinkToFit="1"/>
    </xf>
    <xf numFmtId="180" fontId="12" fillId="0" borderId="0" xfId="42" applyNumberFormat="1" applyFont="1" applyFill="1" applyBorder="1" applyAlignment="1">
      <alignment vertical="center" shrinkToFit="1"/>
    </xf>
    <xf numFmtId="0" fontId="12" fillId="0" borderId="0" xfId="0" applyFont="1" applyFill="1" applyBorder="1" applyAlignment="1">
      <alignment vertical="center" shrinkToFit="1"/>
    </xf>
    <xf numFmtId="179" fontId="12" fillId="0" borderId="0" xfId="0" applyNumberFormat="1" applyFont="1" applyFill="1" applyBorder="1" applyAlignment="1">
      <alignment horizontal="center" vertical="center" shrinkToFit="1"/>
    </xf>
    <xf numFmtId="38" fontId="12" fillId="0" borderId="0" xfId="49" applyFont="1" applyFill="1" applyBorder="1" applyAlignment="1">
      <alignment vertical="center" shrinkToFit="1"/>
    </xf>
    <xf numFmtId="192" fontId="12" fillId="0" borderId="0" xfId="49" applyNumberFormat="1"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0" fillId="0" borderId="0" xfId="0" applyFont="1" applyFill="1" applyAlignment="1">
      <alignment/>
    </xf>
    <xf numFmtId="0" fontId="0" fillId="0" borderId="0" xfId="0" applyFont="1" applyFill="1" applyAlignment="1">
      <alignment vertical="center" wrapText="1"/>
    </xf>
    <xf numFmtId="0" fontId="0"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Border="1" applyAlignment="1">
      <alignment/>
    </xf>
    <xf numFmtId="180" fontId="0" fillId="0" borderId="0" xfId="42" applyNumberFormat="1" applyFont="1" applyFill="1" applyBorder="1" applyAlignment="1">
      <alignment shrinkToFit="1"/>
    </xf>
    <xf numFmtId="0" fontId="12" fillId="0" borderId="0" xfId="42" applyNumberFormat="1" applyFont="1" applyFill="1" applyAlignment="1" applyProtection="1">
      <alignment/>
      <protection locked="0"/>
    </xf>
    <xf numFmtId="0" fontId="12" fillId="0" borderId="0" xfId="0" applyFont="1" applyFill="1" applyAlignment="1">
      <alignment vertical="center"/>
    </xf>
    <xf numFmtId="0" fontId="12" fillId="0" borderId="0" xfId="0" applyFont="1" applyFill="1" applyAlignment="1">
      <alignment horizontal="center" vertical="center" shrinkToFit="1"/>
    </xf>
    <xf numFmtId="179" fontId="12" fillId="0" borderId="0" xfId="0" applyNumberFormat="1" applyFont="1" applyFill="1" applyAlignment="1">
      <alignment horizontal="center" vertical="center" shrinkToFit="1"/>
    </xf>
    <xf numFmtId="38" fontId="12" fillId="0" borderId="0" xfId="0" applyNumberFormat="1" applyFont="1" applyFill="1" applyAlignment="1">
      <alignment vertical="center" shrinkToFit="1"/>
    </xf>
    <xf numFmtId="177" fontId="0" fillId="0" borderId="0" xfId="0" applyNumberFormat="1" applyFill="1" applyAlignment="1">
      <alignment horizontal="center" vertical="center"/>
    </xf>
    <xf numFmtId="0" fontId="0" fillId="24" borderId="13" xfId="0" applyFill="1" applyBorder="1" applyAlignment="1">
      <alignment vertical="center" shrinkToFit="1"/>
    </xf>
    <xf numFmtId="0" fontId="0" fillId="24" borderId="11" xfId="0" applyFill="1" applyBorder="1" applyAlignment="1">
      <alignment vertical="center" shrinkToFit="1"/>
    </xf>
    <xf numFmtId="0" fontId="0" fillId="24" borderId="50" xfId="0" applyFill="1" applyBorder="1" applyAlignment="1">
      <alignment vertical="center" shrinkToFit="1"/>
    </xf>
    <xf numFmtId="0" fontId="0" fillId="0" borderId="0" xfId="0" applyFill="1" applyAlignment="1">
      <alignment horizontal="left" vertical="center" indent="2"/>
    </xf>
    <xf numFmtId="0" fontId="0" fillId="0" borderId="0" xfId="0" applyFont="1" applyFill="1" applyAlignment="1">
      <alignment horizontal="centerContinuous" vertical="center"/>
    </xf>
    <xf numFmtId="0" fontId="0" fillId="0" borderId="0" xfId="0" applyFont="1" applyFill="1" applyAlignment="1">
      <alignment horizontal="left" vertical="center"/>
    </xf>
    <xf numFmtId="0" fontId="0" fillId="0" borderId="0" xfId="0" applyFont="1" applyFill="1" applyAlignment="1">
      <alignment shrinkToFit="1"/>
    </xf>
    <xf numFmtId="0" fontId="0" fillId="0" borderId="34" xfId="0" applyFont="1" applyFill="1" applyBorder="1" applyAlignment="1">
      <alignment horizontal="center" shrinkToFit="1"/>
    </xf>
    <xf numFmtId="0" fontId="0" fillId="0" borderId="16" xfId="0" applyFont="1" applyFill="1" applyBorder="1" applyAlignment="1">
      <alignment horizontal="center" shrinkToFit="1"/>
    </xf>
    <xf numFmtId="0" fontId="0" fillId="0" borderId="17" xfId="0" applyFont="1" applyFill="1" applyBorder="1" applyAlignment="1">
      <alignment horizontal="center" shrinkToFit="1"/>
    </xf>
    <xf numFmtId="0" fontId="0" fillId="0" borderId="18" xfId="0" applyFont="1" applyFill="1" applyBorder="1" applyAlignment="1">
      <alignment horizontal="center" shrinkToFit="1"/>
    </xf>
    <xf numFmtId="0" fontId="0" fillId="0" borderId="34" xfId="0" applyFont="1" applyFill="1" applyBorder="1" applyAlignment="1">
      <alignment horizontal="center" vertical="center" shrinkToFit="1"/>
    </xf>
    <xf numFmtId="0" fontId="0" fillId="0" borderId="42" xfId="0" applyFont="1" applyFill="1" applyBorder="1" applyAlignment="1">
      <alignment shrinkToFit="1"/>
    </xf>
    <xf numFmtId="38" fontId="0" fillId="0" borderId="22" xfId="49" applyFont="1" applyFill="1" applyBorder="1" applyAlignment="1">
      <alignment shrinkToFit="1"/>
    </xf>
    <xf numFmtId="180" fontId="0" fillId="25" borderId="34" xfId="42" applyNumberFormat="1" applyFont="1" applyFill="1" applyBorder="1" applyAlignment="1">
      <alignment shrinkToFit="1"/>
    </xf>
    <xf numFmtId="180" fontId="0" fillId="0" borderId="34" xfId="42" applyNumberFormat="1" applyFont="1" applyFill="1" applyBorder="1" applyAlignment="1">
      <alignment horizontal="center" shrinkToFit="1"/>
    </xf>
    <xf numFmtId="38" fontId="0" fillId="0" borderId="34" xfId="0" applyNumberFormat="1" applyFont="1" applyFill="1" applyBorder="1" applyAlignment="1">
      <alignment horizontal="center" shrinkToFit="1"/>
    </xf>
    <xf numFmtId="0" fontId="0" fillId="0" borderId="23" xfId="0" applyFont="1" applyFill="1" applyBorder="1" applyAlignment="1">
      <alignment shrinkToFit="1"/>
    </xf>
    <xf numFmtId="38" fontId="0" fillId="0" borderId="30" xfId="49" applyFont="1" applyFill="1" applyBorder="1" applyAlignment="1">
      <alignment shrinkToFit="1"/>
    </xf>
    <xf numFmtId="180" fontId="0" fillId="0" borderId="34" xfId="42" applyNumberFormat="1" applyFont="1" applyFill="1" applyBorder="1" applyAlignment="1">
      <alignment shrinkToFit="1"/>
    </xf>
    <xf numFmtId="0" fontId="0" fillId="0" borderId="0" xfId="0" applyFont="1" applyFill="1" applyAlignment="1">
      <alignment horizontal="center" shrinkToFit="1"/>
    </xf>
    <xf numFmtId="0" fontId="0" fillId="0" borderId="24" xfId="0" applyFont="1" applyFill="1" applyBorder="1" applyAlignment="1">
      <alignment shrinkToFit="1"/>
    </xf>
    <xf numFmtId="38" fontId="0" fillId="0" borderId="31" xfId="49" applyFont="1" applyFill="1" applyBorder="1" applyAlignment="1">
      <alignment shrinkToFit="1"/>
    </xf>
    <xf numFmtId="38" fontId="0" fillId="0" borderId="0" xfId="49" applyFont="1" applyFill="1" applyBorder="1" applyAlignment="1">
      <alignment horizontal="right" shrinkToFit="1"/>
    </xf>
    <xf numFmtId="180" fontId="0" fillId="0" borderId="0" xfId="42" applyNumberFormat="1" applyFont="1" applyFill="1" applyAlignment="1">
      <alignment/>
    </xf>
    <xf numFmtId="38" fontId="0" fillId="0" borderId="0" xfId="49" applyFont="1" applyFill="1" applyAlignment="1">
      <alignment/>
    </xf>
    <xf numFmtId="0" fontId="0" fillId="0" borderId="0" xfId="0" applyFont="1" applyFill="1" applyAlignment="1">
      <alignment vertical="center"/>
    </xf>
    <xf numFmtId="178" fontId="0" fillId="0" borderId="38" xfId="0" applyNumberFormat="1" applyFont="1" applyFill="1" applyBorder="1" applyAlignment="1">
      <alignment horizontal="center" vertical="center" shrinkToFit="1"/>
    </xf>
    <xf numFmtId="178" fontId="0" fillId="0" borderId="39" xfId="0" applyNumberFormat="1" applyFont="1" applyFill="1" applyBorder="1" applyAlignment="1">
      <alignment horizontal="center" vertical="center" shrinkToFit="1"/>
    </xf>
    <xf numFmtId="178" fontId="0" fillId="0" borderId="40" xfId="0" applyNumberFormat="1" applyFont="1" applyFill="1" applyBorder="1" applyAlignment="1">
      <alignment horizontal="center" vertical="center" shrinkToFit="1"/>
    </xf>
    <xf numFmtId="0" fontId="0" fillId="0" borderId="0" xfId="0" applyFont="1" applyFill="1" applyAlignment="1">
      <alignment vertical="center" shrinkToFit="1"/>
    </xf>
    <xf numFmtId="179" fontId="0" fillId="0" borderId="41" xfId="0" applyNumberFormat="1" applyFont="1" applyFill="1" applyBorder="1" applyAlignment="1">
      <alignment horizontal="center" vertical="center" shrinkToFit="1"/>
    </xf>
    <xf numFmtId="179" fontId="0" fillId="0" borderId="25" xfId="0" applyNumberFormat="1" applyFont="1" applyFill="1" applyBorder="1" applyAlignment="1">
      <alignment horizontal="center" vertical="center" shrinkToFit="1"/>
    </xf>
    <xf numFmtId="179" fontId="0" fillId="0" borderId="31" xfId="0" applyNumberFormat="1" applyFont="1" applyFill="1" applyBorder="1" applyAlignment="1">
      <alignment horizontal="center" vertical="center" shrinkToFit="1"/>
    </xf>
    <xf numFmtId="0" fontId="0" fillId="0" borderId="51" xfId="0" applyFont="1" applyFill="1" applyBorder="1" applyAlignment="1">
      <alignment vertical="center" shrinkToFit="1"/>
    </xf>
    <xf numFmtId="38" fontId="0" fillId="0" borderId="35" xfId="0" applyNumberFormat="1" applyFont="1" applyFill="1" applyBorder="1" applyAlignment="1">
      <alignment vertical="center" shrinkToFit="1"/>
    </xf>
    <xf numFmtId="38" fontId="0" fillId="0" borderId="38" xfId="0" applyNumberFormat="1" applyFont="1" applyFill="1" applyBorder="1" applyAlignment="1">
      <alignment vertical="center" shrinkToFit="1"/>
    </xf>
    <xf numFmtId="38" fontId="0" fillId="0" borderId="39" xfId="0" applyNumberFormat="1" applyFont="1" applyFill="1" applyBorder="1" applyAlignment="1">
      <alignment vertical="center" shrinkToFit="1"/>
    </xf>
    <xf numFmtId="38" fontId="0" fillId="0" borderId="40" xfId="0" applyNumberFormat="1" applyFont="1" applyFill="1" applyBorder="1" applyAlignment="1">
      <alignment vertical="center" shrinkToFit="1"/>
    </xf>
    <xf numFmtId="0" fontId="0" fillId="0" borderId="36" xfId="0" applyFont="1" applyFill="1" applyBorder="1" applyAlignment="1">
      <alignment vertical="center" shrinkToFit="1"/>
    </xf>
    <xf numFmtId="38" fontId="0" fillId="0" borderId="23" xfId="49" applyFont="1" applyFill="1" applyBorder="1" applyAlignment="1">
      <alignment vertical="center" shrinkToFit="1"/>
    </xf>
    <xf numFmtId="38" fontId="0" fillId="0" borderId="49" xfId="49" applyFont="1" applyFill="1" applyBorder="1" applyAlignment="1">
      <alignment vertical="center" shrinkToFit="1"/>
    </xf>
    <xf numFmtId="38" fontId="0" fillId="0" borderId="19" xfId="49" applyFont="1" applyFill="1" applyBorder="1" applyAlignment="1">
      <alignment vertical="center" shrinkToFit="1"/>
    </xf>
    <xf numFmtId="38" fontId="0" fillId="0" borderId="30" xfId="49" applyFont="1" applyFill="1" applyBorder="1" applyAlignment="1">
      <alignment vertical="center" shrinkToFit="1"/>
    </xf>
    <xf numFmtId="0" fontId="0" fillId="0" borderId="36" xfId="0" applyFont="1" applyFill="1" applyBorder="1" applyAlignment="1">
      <alignment horizontal="left" vertical="center" indent="1" shrinkToFit="1"/>
    </xf>
    <xf numFmtId="180" fontId="0" fillId="24" borderId="23" xfId="42" applyNumberFormat="1" applyFont="1" applyFill="1" applyBorder="1" applyAlignment="1">
      <alignment vertical="center" shrinkToFit="1"/>
    </xf>
    <xf numFmtId="180" fontId="0" fillId="0" borderId="49" xfId="0" applyNumberFormat="1" applyFont="1" applyFill="1" applyBorder="1" applyAlignment="1">
      <alignment vertical="center" shrinkToFit="1"/>
    </xf>
    <xf numFmtId="180" fontId="0" fillId="0" borderId="19" xfId="0" applyNumberFormat="1" applyFont="1" applyFill="1" applyBorder="1" applyAlignment="1">
      <alignment vertical="center" shrinkToFit="1"/>
    </xf>
    <xf numFmtId="180" fontId="0" fillId="0" borderId="30" xfId="0" applyNumberFormat="1" applyFont="1" applyFill="1" applyBorder="1" applyAlignment="1">
      <alignment vertical="center" shrinkToFit="1"/>
    </xf>
    <xf numFmtId="0" fontId="0" fillId="0" borderId="52" xfId="0" applyFont="1" applyFill="1" applyBorder="1" applyAlignment="1">
      <alignment horizontal="left" vertical="center" indent="1" shrinkToFit="1"/>
    </xf>
    <xf numFmtId="38" fontId="0" fillId="0" borderId="41" xfId="49" applyFont="1" applyFill="1" applyBorder="1" applyAlignment="1">
      <alignment vertical="center" shrinkToFit="1"/>
    </xf>
    <xf numFmtId="38" fontId="0" fillId="0" borderId="25" xfId="49" applyFont="1" applyFill="1" applyBorder="1" applyAlignment="1">
      <alignment vertical="center" shrinkToFit="1"/>
    </xf>
    <xf numFmtId="38" fontId="0" fillId="0" borderId="31" xfId="49" applyFont="1" applyFill="1" applyBorder="1" applyAlignment="1">
      <alignment vertical="center" shrinkToFit="1"/>
    </xf>
    <xf numFmtId="0" fontId="0" fillId="0" borderId="38" xfId="0" applyFont="1" applyFill="1" applyBorder="1" applyAlignment="1">
      <alignment vertical="center" shrinkToFit="1"/>
    </xf>
    <xf numFmtId="0" fontId="0" fillId="0" borderId="39" xfId="0" applyFont="1" applyFill="1" applyBorder="1" applyAlignment="1">
      <alignment vertical="center" shrinkToFit="1"/>
    </xf>
    <xf numFmtId="0" fontId="0" fillId="0" borderId="40" xfId="0" applyFont="1" applyFill="1" applyBorder="1" applyAlignment="1">
      <alignment vertical="center" shrinkToFit="1"/>
    </xf>
    <xf numFmtId="38" fontId="0" fillId="0" borderId="19" xfId="0" applyNumberFormat="1" applyFont="1" applyFill="1" applyBorder="1" applyAlignment="1">
      <alignment vertical="center" shrinkToFit="1"/>
    </xf>
    <xf numFmtId="38" fontId="0" fillId="0" borderId="30" xfId="0" applyNumberFormat="1" applyFont="1" applyFill="1" applyBorder="1" applyAlignment="1">
      <alignment vertical="center" shrinkToFit="1"/>
    </xf>
    <xf numFmtId="38" fontId="0" fillId="0" borderId="49" xfId="0" applyNumberFormat="1" applyFont="1" applyFill="1" applyBorder="1" applyAlignment="1">
      <alignment vertical="center" shrinkToFit="1"/>
    </xf>
    <xf numFmtId="38" fontId="0" fillId="0" borderId="41" xfId="0" applyNumberFormat="1" applyFont="1" applyFill="1" applyBorder="1" applyAlignment="1">
      <alignment horizontal="right" vertical="center" shrinkToFit="1"/>
    </xf>
    <xf numFmtId="38" fontId="0" fillId="0" borderId="25" xfId="0" applyNumberFormat="1" applyFont="1" applyFill="1" applyBorder="1" applyAlignment="1">
      <alignment horizontal="right" vertical="center" shrinkToFit="1"/>
    </xf>
    <xf numFmtId="38" fontId="0" fillId="0" borderId="31" xfId="0" applyNumberFormat="1" applyFont="1" applyFill="1" applyBorder="1" applyAlignment="1">
      <alignment horizontal="right" vertical="center" shrinkToFit="1"/>
    </xf>
    <xf numFmtId="0" fontId="0" fillId="0" borderId="51" xfId="0" applyFont="1" applyFill="1" applyBorder="1" applyAlignment="1">
      <alignment horizontal="left" vertical="center" shrinkToFit="1"/>
    </xf>
    <xf numFmtId="0" fontId="0" fillId="0" borderId="36" xfId="0" applyFont="1" applyFill="1" applyBorder="1" applyAlignment="1">
      <alignment horizontal="left" vertical="center" shrinkToFit="1"/>
    </xf>
    <xf numFmtId="0" fontId="0" fillId="0" borderId="53" xfId="0" applyFont="1" applyFill="1" applyBorder="1" applyAlignment="1">
      <alignment horizontal="left" vertical="center" shrinkToFit="1"/>
    </xf>
    <xf numFmtId="38" fontId="0" fillId="0" borderId="54" xfId="49" applyFont="1" applyFill="1" applyBorder="1" applyAlignment="1">
      <alignment vertical="center" shrinkToFit="1"/>
    </xf>
    <xf numFmtId="38" fontId="0" fillId="0" borderId="21" xfId="0" applyNumberFormat="1" applyFont="1" applyFill="1" applyBorder="1" applyAlignment="1">
      <alignment vertical="center" shrinkToFit="1"/>
    </xf>
    <xf numFmtId="38" fontId="0" fillId="0" borderId="22" xfId="0" applyNumberFormat="1" applyFont="1" applyFill="1" applyBorder="1" applyAlignment="1">
      <alignment vertical="center" shrinkToFit="1"/>
    </xf>
    <xf numFmtId="38" fontId="0" fillId="0" borderId="49" xfId="49" applyFont="1" applyFill="1" applyBorder="1" applyAlignment="1">
      <alignment horizontal="center" vertical="center" shrinkToFit="1"/>
    </xf>
    <xf numFmtId="38" fontId="0" fillId="0" borderId="19" xfId="49" applyFont="1" applyFill="1" applyBorder="1" applyAlignment="1">
      <alignment horizontal="center" vertical="center" shrinkToFit="1"/>
    </xf>
    <xf numFmtId="38" fontId="0" fillId="0" borderId="30" xfId="49" applyFont="1" applyFill="1" applyBorder="1" applyAlignment="1">
      <alignment horizontal="center" vertical="center" shrinkToFit="1"/>
    </xf>
    <xf numFmtId="38" fontId="0" fillId="0" borderId="41" xfId="49" applyFont="1" applyFill="1" applyBorder="1" applyAlignment="1">
      <alignment horizontal="center" vertical="center" shrinkToFit="1"/>
    </xf>
    <xf numFmtId="38" fontId="0" fillId="0" borderId="25" xfId="49" applyFont="1" applyFill="1" applyBorder="1" applyAlignment="1">
      <alignment horizontal="center" vertical="center" shrinkToFit="1"/>
    </xf>
    <xf numFmtId="38" fontId="0" fillId="0" borderId="31" xfId="49" applyFont="1" applyFill="1" applyBorder="1" applyAlignment="1">
      <alignment horizontal="center" vertical="center" shrinkToFit="1"/>
    </xf>
    <xf numFmtId="0" fontId="0" fillId="0" borderId="0" xfId="0" applyFont="1" applyFill="1" applyAlignment="1">
      <alignment shrinkToFit="1"/>
    </xf>
    <xf numFmtId="0" fontId="0" fillId="0" borderId="0" xfId="0" applyAlignment="1">
      <alignment horizontal="center" vertical="center"/>
    </xf>
    <xf numFmtId="0" fontId="0" fillId="0" borderId="0" xfId="0" applyAlignment="1">
      <alignment vertical="center" shrinkToFit="1"/>
    </xf>
    <xf numFmtId="0" fontId="10" fillId="0" borderId="0" xfId="0" applyFont="1" applyAlignment="1">
      <alignment horizontal="centerContinuous" vertical="center"/>
    </xf>
    <xf numFmtId="0" fontId="12" fillId="0" borderId="0" xfId="0" applyFont="1" applyFill="1" applyAlignment="1">
      <alignment horizontal="right" vertical="center"/>
    </xf>
    <xf numFmtId="0" fontId="11" fillId="0" borderId="0" xfId="0" applyFont="1" applyFill="1" applyAlignment="1">
      <alignment horizontal="center" vertical="center"/>
    </xf>
    <xf numFmtId="0" fontId="12" fillId="0" borderId="0" xfId="0" applyFont="1" applyFill="1" applyAlignment="1">
      <alignment horizontal="right" vertical="center" shrinkToFit="1"/>
    </xf>
    <xf numFmtId="0" fontId="0" fillId="0" borderId="0" xfId="0" applyFill="1" applyAlignment="1">
      <alignment horizontal="center" vertical="center" shrinkToFit="1"/>
    </xf>
    <xf numFmtId="0" fontId="0" fillId="25" borderId="0" xfId="0" applyFill="1" applyAlignment="1">
      <alignment vertical="center" shrinkToFit="1"/>
    </xf>
    <xf numFmtId="0" fontId="0" fillId="25" borderId="36" xfId="0" applyFont="1" applyFill="1" applyBorder="1" applyAlignment="1">
      <alignment horizontal="left" vertical="center" indent="1" shrinkToFit="1"/>
    </xf>
    <xf numFmtId="0" fontId="0" fillId="0" borderId="43" xfId="0" applyFill="1" applyBorder="1" applyAlignment="1">
      <alignment horizontal="center" vertical="center" shrinkToFit="1"/>
    </xf>
    <xf numFmtId="0" fontId="7" fillId="0" borderId="0" xfId="0" applyNumberFormat="1" applyFont="1" applyFill="1" applyAlignment="1" applyProtection="1">
      <alignment/>
      <protection locked="0"/>
    </xf>
    <xf numFmtId="0" fontId="7" fillId="0" borderId="0" xfId="0" applyNumberFormat="1" applyFont="1" applyFill="1" applyAlignment="1" applyProtection="1">
      <alignment horizontal="left" vertical="top" indent="7"/>
      <protection locked="0"/>
    </xf>
    <xf numFmtId="0" fontId="6" fillId="0" borderId="55" xfId="0" applyFont="1" applyFill="1" applyBorder="1" applyAlignment="1">
      <alignment horizontal="center" vertical="center" shrinkToFit="1"/>
    </xf>
    <xf numFmtId="0" fontId="0" fillId="0" borderId="53" xfId="0" applyFill="1" applyBorder="1" applyAlignment="1">
      <alignment vertical="center" shrinkToFit="1"/>
    </xf>
    <xf numFmtId="0" fontId="0" fillId="0" borderId="36" xfId="0" applyFill="1" applyBorder="1" applyAlignment="1">
      <alignment vertical="center" shrinkToFit="1"/>
    </xf>
    <xf numFmtId="0" fontId="0" fillId="0" borderId="52" xfId="0" applyFill="1" applyBorder="1" applyAlignment="1">
      <alignment vertical="center" shrinkToFit="1"/>
    </xf>
    <xf numFmtId="38" fontId="0" fillId="0" borderId="54" xfId="0" applyNumberFormat="1" applyFill="1" applyBorder="1" applyAlignment="1">
      <alignment vertical="center" shrinkToFit="1"/>
    </xf>
    <xf numFmtId="38" fontId="0" fillId="0" borderId="49" xfId="49" applyFont="1" applyFill="1" applyBorder="1" applyAlignment="1">
      <alignment vertical="center" shrinkToFit="1"/>
    </xf>
    <xf numFmtId="195" fontId="0" fillId="0" borderId="26" xfId="0" applyNumberFormat="1" applyFill="1" applyBorder="1" applyAlignment="1">
      <alignment vertical="center" shrinkToFit="1"/>
    </xf>
    <xf numFmtId="195" fontId="0" fillId="0" borderId="44" xfId="0" applyNumberFormat="1" applyFill="1" applyBorder="1" applyAlignment="1">
      <alignment vertical="center" shrinkToFit="1"/>
    </xf>
    <xf numFmtId="195" fontId="0" fillId="0" borderId="48" xfId="0" applyNumberFormat="1" applyFill="1" applyBorder="1" applyAlignment="1">
      <alignment vertical="center" shrinkToFit="1"/>
    </xf>
    <xf numFmtId="0" fontId="0" fillId="25" borderId="56" xfId="0" applyFill="1" applyBorder="1" applyAlignment="1">
      <alignment horizontal="center" vertical="center" shrinkToFit="1"/>
    </xf>
    <xf numFmtId="195" fontId="0" fillId="0" borderId="41" xfId="0" applyNumberFormat="1" applyFill="1" applyBorder="1" applyAlignment="1">
      <alignment vertical="center" shrinkToFit="1"/>
    </xf>
    <xf numFmtId="0" fontId="16" fillId="0" borderId="56" xfId="0" applyFont="1" applyFill="1" applyBorder="1" applyAlignment="1">
      <alignment horizontal="center" vertical="center" shrinkToFit="1"/>
    </xf>
    <xf numFmtId="0" fontId="0" fillId="0" borderId="57" xfId="0" applyFill="1" applyBorder="1" applyAlignment="1">
      <alignment horizontal="left" vertical="center" indent="1"/>
    </xf>
    <xf numFmtId="0" fontId="7" fillId="0" borderId="0" xfId="0" applyFont="1" applyFill="1" applyAlignment="1">
      <alignment vertical="top" shrinkToFit="1"/>
    </xf>
    <xf numFmtId="195" fontId="0" fillId="24" borderId="44" xfId="49" applyNumberFormat="1" applyFont="1" applyFill="1" applyBorder="1" applyAlignment="1">
      <alignment vertical="center" shrinkToFit="1"/>
    </xf>
    <xf numFmtId="195" fontId="0" fillId="24" borderId="54" xfId="49" applyNumberFormat="1" applyFont="1" applyFill="1" applyBorder="1" applyAlignment="1">
      <alignment vertical="center" shrinkToFit="1"/>
    </xf>
    <xf numFmtId="195" fontId="0" fillId="24" borderId="21" xfId="49" applyNumberFormat="1" applyFont="1" applyFill="1" applyBorder="1" applyAlignment="1">
      <alignment vertical="center" shrinkToFit="1"/>
    </xf>
    <xf numFmtId="195" fontId="0" fillId="24" borderId="45" xfId="49" applyNumberFormat="1" applyFont="1" applyFill="1" applyBorder="1" applyAlignment="1">
      <alignment vertical="center" shrinkToFit="1"/>
    </xf>
    <xf numFmtId="195" fontId="0" fillId="24" borderId="49" xfId="49" applyNumberFormat="1" applyFont="1" applyFill="1" applyBorder="1" applyAlignment="1">
      <alignment vertical="center" shrinkToFit="1"/>
    </xf>
    <xf numFmtId="195" fontId="0" fillId="24" borderId="19" xfId="49" applyNumberFormat="1" applyFont="1" applyFill="1" applyBorder="1" applyAlignment="1">
      <alignment vertical="center" shrinkToFit="1"/>
    </xf>
    <xf numFmtId="195" fontId="0" fillId="24" borderId="46" xfId="49" applyNumberFormat="1" applyFont="1" applyFill="1" applyBorder="1" applyAlignment="1">
      <alignment vertical="center" shrinkToFit="1"/>
    </xf>
    <xf numFmtId="195" fontId="0" fillId="24" borderId="58" xfId="49" applyNumberFormat="1" applyFont="1" applyFill="1" applyBorder="1" applyAlignment="1">
      <alignment vertical="center" shrinkToFit="1"/>
    </xf>
    <xf numFmtId="195" fontId="0" fillId="24" borderId="59" xfId="49" applyNumberFormat="1" applyFont="1" applyFill="1" applyBorder="1" applyAlignment="1">
      <alignment vertical="center" shrinkToFit="1"/>
    </xf>
    <xf numFmtId="0" fontId="0" fillId="25" borderId="0" xfId="0" applyNumberFormat="1" applyFont="1" applyFill="1" applyAlignment="1" applyProtection="1">
      <alignment vertical="center" shrinkToFit="1"/>
      <protection locked="0"/>
    </xf>
    <xf numFmtId="180" fontId="0" fillId="24" borderId="21" xfId="42" applyNumberFormat="1" applyFont="1" applyFill="1" applyBorder="1" applyAlignment="1">
      <alignment vertical="center" shrinkToFit="1"/>
    </xf>
    <xf numFmtId="180" fontId="0" fillId="24" borderId="19" xfId="42" applyNumberFormat="1" applyFont="1" applyFill="1" applyBorder="1" applyAlignment="1">
      <alignment vertical="center" shrinkToFit="1"/>
    </xf>
    <xf numFmtId="180" fontId="0" fillId="24" borderId="25" xfId="42" applyNumberFormat="1" applyFont="1" applyFill="1" applyBorder="1" applyAlignment="1">
      <alignment vertical="center" shrinkToFit="1"/>
    </xf>
    <xf numFmtId="195" fontId="0" fillId="24" borderId="54" xfId="49" applyNumberFormat="1" applyFont="1" applyFill="1" applyBorder="1" applyAlignment="1">
      <alignment vertical="center" shrinkToFit="1"/>
    </xf>
    <xf numFmtId="195" fontId="0" fillId="24" borderId="49" xfId="49" applyNumberFormat="1" applyFont="1" applyFill="1" applyBorder="1" applyAlignment="1">
      <alignment vertical="center" shrinkToFit="1"/>
    </xf>
    <xf numFmtId="195" fontId="0" fillId="24" borderId="41" xfId="49" applyNumberFormat="1" applyFont="1" applyFill="1" applyBorder="1" applyAlignment="1">
      <alignment vertical="center" shrinkToFit="1"/>
    </xf>
    <xf numFmtId="195" fontId="0" fillId="0" borderId="23" xfId="0" applyNumberFormat="1" applyFill="1" applyBorder="1" applyAlignment="1">
      <alignment vertical="center" shrinkToFit="1"/>
    </xf>
    <xf numFmtId="195" fontId="0" fillId="0" borderId="35" xfId="0" applyNumberFormat="1" applyFont="1" applyFill="1" applyBorder="1" applyAlignment="1">
      <alignment vertical="center" shrinkToFit="1"/>
    </xf>
    <xf numFmtId="195" fontId="0" fillId="24" borderId="23" xfId="49" applyNumberFormat="1" applyFont="1" applyFill="1" applyBorder="1" applyAlignment="1">
      <alignment vertical="center" shrinkToFit="1"/>
    </xf>
    <xf numFmtId="195" fontId="0" fillId="0" borderId="23" xfId="49" applyNumberFormat="1" applyFont="1" applyFill="1" applyBorder="1" applyAlignment="1">
      <alignment vertical="center" shrinkToFit="1"/>
    </xf>
    <xf numFmtId="195" fontId="0" fillId="0" borderId="24" xfId="0" applyNumberFormat="1" applyFill="1" applyBorder="1" applyAlignment="1">
      <alignment vertical="center" shrinkToFit="1"/>
    </xf>
    <xf numFmtId="195" fontId="0" fillId="24" borderId="42" xfId="49" applyNumberFormat="1" applyFont="1" applyFill="1" applyBorder="1" applyAlignment="1">
      <alignment vertical="center" shrinkToFit="1"/>
    </xf>
    <xf numFmtId="195" fontId="2" fillId="0" borderId="60" xfId="0" applyNumberFormat="1" applyFont="1" applyFill="1" applyBorder="1" applyAlignment="1">
      <alignment vertical="center" shrinkToFit="1"/>
    </xf>
    <xf numFmtId="195" fontId="16" fillId="24" borderId="61" xfId="0" applyNumberFormat="1" applyFont="1" applyFill="1" applyBorder="1" applyAlignment="1">
      <alignment vertical="center" shrinkToFit="1"/>
    </xf>
    <xf numFmtId="195" fontId="16" fillId="24" borderId="62" xfId="49" applyNumberFormat="1" applyFont="1" applyFill="1" applyBorder="1" applyAlignment="1">
      <alignment vertical="center" shrinkToFit="1"/>
    </xf>
    <xf numFmtId="195" fontId="16" fillId="24" borderId="63" xfId="49" applyNumberFormat="1" applyFont="1" applyFill="1" applyBorder="1" applyAlignment="1">
      <alignment vertical="center" shrinkToFit="1"/>
    </xf>
    <xf numFmtId="195" fontId="0" fillId="24" borderId="30" xfId="0" applyNumberFormat="1" applyFill="1" applyBorder="1" applyAlignment="1">
      <alignment vertical="center" shrinkToFit="1"/>
    </xf>
    <xf numFmtId="195" fontId="0" fillId="24" borderId="31" xfId="0" applyNumberFormat="1" applyFill="1" applyBorder="1" applyAlignment="1">
      <alignment vertical="center" shrinkToFit="1"/>
    </xf>
    <xf numFmtId="180" fontId="0" fillId="24" borderId="19" xfId="42" applyNumberFormat="1" applyFont="1" applyFill="1" applyBorder="1" applyAlignment="1">
      <alignment vertical="center" shrinkToFit="1"/>
    </xf>
    <xf numFmtId="180" fontId="0" fillId="24" borderId="25" xfId="42" applyNumberFormat="1" applyFont="1" applyFill="1" applyBorder="1" applyAlignment="1">
      <alignment vertical="center" shrinkToFit="1"/>
    </xf>
    <xf numFmtId="195" fontId="0" fillId="24" borderId="61" xfId="0" applyNumberFormat="1" applyFill="1" applyBorder="1" applyAlignment="1">
      <alignment vertical="center" shrinkToFit="1"/>
    </xf>
    <xf numFmtId="195" fontId="0" fillId="24" borderId="54" xfId="0" applyNumberFormat="1" applyFill="1" applyBorder="1" applyAlignment="1">
      <alignment vertical="center" shrinkToFit="1"/>
    </xf>
    <xf numFmtId="195" fontId="0" fillId="24" borderId="21" xfId="0" applyNumberFormat="1" applyFill="1" applyBorder="1" applyAlignment="1">
      <alignment vertical="center" shrinkToFit="1"/>
    </xf>
    <xf numFmtId="195" fontId="0" fillId="24" borderId="64" xfId="0" applyNumberFormat="1" applyFill="1" applyBorder="1" applyAlignment="1">
      <alignment vertical="center" shrinkToFit="1"/>
    </xf>
    <xf numFmtId="195" fontId="0" fillId="24" borderId="63" xfId="0" applyNumberFormat="1" applyFill="1" applyBorder="1" applyAlignment="1">
      <alignment vertical="center" shrinkToFit="1"/>
    </xf>
    <xf numFmtId="195" fontId="0" fillId="24" borderId="32" xfId="0" applyNumberFormat="1" applyFill="1" applyBorder="1" applyAlignment="1">
      <alignment vertical="center" shrinkToFit="1"/>
    </xf>
    <xf numFmtId="195" fontId="0" fillId="24" borderId="65" xfId="0" applyNumberFormat="1" applyFill="1" applyBorder="1" applyAlignment="1">
      <alignment vertical="center" shrinkToFit="1"/>
    </xf>
    <xf numFmtId="195" fontId="0" fillId="24" borderId="22" xfId="0" applyNumberFormat="1" applyFill="1" applyBorder="1" applyAlignment="1">
      <alignment vertical="center" shrinkToFit="1"/>
    </xf>
    <xf numFmtId="195" fontId="0" fillId="24" borderId="66" xfId="0" applyNumberFormat="1" applyFill="1" applyBorder="1" applyAlignment="1">
      <alignment vertical="center" shrinkToFit="1"/>
    </xf>
    <xf numFmtId="195" fontId="0" fillId="0" borderId="27" xfId="0" applyNumberFormat="1" applyFill="1" applyBorder="1" applyAlignment="1">
      <alignment vertical="center" shrinkToFit="1"/>
    </xf>
    <xf numFmtId="195" fontId="0" fillId="0" borderId="18" xfId="0" applyNumberFormat="1" applyFill="1" applyBorder="1" applyAlignment="1">
      <alignment vertical="center" shrinkToFit="1"/>
    </xf>
    <xf numFmtId="195" fontId="0" fillId="24" borderId="49" xfId="0" applyNumberFormat="1" applyFill="1" applyBorder="1" applyAlignment="1">
      <alignment vertical="center" shrinkToFit="1"/>
    </xf>
    <xf numFmtId="195" fontId="0" fillId="24" borderId="19" xfId="0" applyNumberFormat="1" applyFill="1" applyBorder="1" applyAlignment="1">
      <alignment vertical="center" shrinkToFit="1"/>
    </xf>
    <xf numFmtId="195" fontId="0" fillId="24" borderId="41" xfId="0" applyNumberFormat="1" applyFill="1" applyBorder="1" applyAlignment="1">
      <alignment vertical="center" shrinkToFit="1"/>
    </xf>
    <xf numFmtId="195" fontId="0" fillId="24" borderId="25" xfId="0" applyNumberFormat="1" applyFill="1" applyBorder="1" applyAlignment="1">
      <alignment vertical="center" shrinkToFit="1"/>
    </xf>
    <xf numFmtId="0" fontId="0" fillId="0" borderId="67" xfId="0" applyBorder="1" applyAlignment="1">
      <alignment horizontal="left" vertical="center" indent="1"/>
    </xf>
    <xf numFmtId="0" fontId="0" fillId="24" borderId="36" xfId="0" applyFill="1" applyBorder="1" applyAlignment="1">
      <alignment horizontal="left" vertical="center" shrinkToFit="1"/>
    </xf>
    <xf numFmtId="0" fontId="0" fillId="24" borderId="68" xfId="0" applyFill="1" applyBorder="1" applyAlignment="1">
      <alignment horizontal="left" vertical="center" shrinkToFit="1"/>
    </xf>
    <xf numFmtId="0" fontId="0" fillId="24" borderId="45" xfId="0" applyFill="1" applyBorder="1" applyAlignment="1">
      <alignment horizontal="left" vertical="center" shrinkToFit="1"/>
    </xf>
    <xf numFmtId="0" fontId="0" fillId="0" borderId="0" xfId="0" applyAlignment="1">
      <alignment vertical="center" shrinkToFit="1"/>
    </xf>
    <xf numFmtId="180" fontId="0" fillId="0" borderId="68" xfId="42" applyNumberFormat="1" applyFont="1" applyFill="1" applyBorder="1" applyAlignment="1">
      <alignment horizontal="left" vertical="center" shrinkToFit="1"/>
    </xf>
    <xf numFmtId="180" fontId="0" fillId="0" borderId="45" xfId="42" applyNumberFormat="1" applyFont="1" applyFill="1" applyBorder="1" applyAlignment="1">
      <alignment horizontal="left" vertical="center" shrinkToFit="1"/>
    </xf>
    <xf numFmtId="0" fontId="0" fillId="24" borderId="11" xfId="0" applyFill="1" applyBorder="1" applyAlignment="1">
      <alignment horizontal="center" vertical="center" shrinkToFit="1"/>
    </xf>
    <xf numFmtId="0" fontId="0" fillId="24" borderId="19" xfId="0" applyFill="1" applyBorder="1" applyAlignment="1">
      <alignment horizontal="center" vertical="center" shrinkToFit="1"/>
    </xf>
    <xf numFmtId="0" fontId="0" fillId="24" borderId="30" xfId="0" applyFill="1" applyBorder="1" applyAlignment="1">
      <alignment horizontal="center" vertical="center" shrinkToFit="1"/>
    </xf>
    <xf numFmtId="0" fontId="0" fillId="0" borderId="69" xfId="0" applyBorder="1" applyAlignment="1">
      <alignment horizontal="left" vertical="center" indent="1"/>
    </xf>
    <xf numFmtId="0" fontId="0" fillId="0" borderId="70" xfId="0" applyBorder="1" applyAlignment="1">
      <alignment horizontal="left" vertical="center" indent="1"/>
    </xf>
    <xf numFmtId="0" fontId="0" fillId="24" borderId="52" xfId="0" applyFill="1" applyBorder="1" applyAlignment="1">
      <alignment horizontal="left" vertical="center" shrinkToFit="1"/>
    </xf>
    <xf numFmtId="0" fontId="0" fillId="24" borderId="71" xfId="0" applyFill="1" applyBorder="1" applyAlignment="1">
      <alignment horizontal="left" vertical="center" shrinkToFit="1"/>
    </xf>
    <xf numFmtId="0" fontId="0" fillId="24" borderId="48" xfId="0" applyFill="1" applyBorder="1" applyAlignment="1">
      <alignment horizontal="left" vertical="center" shrinkToFit="1"/>
    </xf>
    <xf numFmtId="0" fontId="0" fillId="24" borderId="10" xfId="0" applyFill="1" applyBorder="1" applyAlignment="1">
      <alignment vertical="center" shrinkToFit="1"/>
    </xf>
    <xf numFmtId="0" fontId="0" fillId="24" borderId="39" xfId="0" applyFill="1" applyBorder="1" applyAlignment="1">
      <alignment vertical="center" shrinkToFit="1"/>
    </xf>
    <xf numFmtId="0" fontId="0" fillId="24" borderId="40" xfId="0" applyFill="1" applyBorder="1" applyAlignment="1">
      <alignment vertical="center" shrinkToFit="1"/>
    </xf>
    <xf numFmtId="0" fontId="0" fillId="0" borderId="49" xfId="0" applyBorder="1" applyAlignment="1">
      <alignment vertical="center" shrinkToFit="1"/>
    </xf>
    <xf numFmtId="0" fontId="0" fillId="0" borderId="30" xfId="0" applyBorder="1" applyAlignment="1">
      <alignment vertical="center" shrinkToFit="1"/>
    </xf>
    <xf numFmtId="180" fontId="0" fillId="25" borderId="50" xfId="42" applyNumberFormat="1" applyFont="1" applyFill="1" applyBorder="1" applyAlignment="1">
      <alignment horizontal="center" vertical="center" shrinkToFit="1"/>
    </xf>
    <xf numFmtId="180" fontId="0" fillId="25" borderId="59" xfId="42" applyNumberFormat="1" applyFont="1" applyFill="1" applyBorder="1" applyAlignment="1">
      <alignment horizontal="center" vertical="center" shrinkToFit="1"/>
    </xf>
    <xf numFmtId="180" fontId="0" fillId="25" borderId="66" xfId="42" applyNumberFormat="1" applyFont="1" applyFill="1" applyBorder="1" applyAlignment="1">
      <alignment horizontal="center" vertical="center" shrinkToFit="1"/>
    </xf>
    <xf numFmtId="0" fontId="0" fillId="24" borderId="51" xfId="0" applyFill="1" applyBorder="1" applyAlignment="1">
      <alignment horizontal="left" vertical="center" shrinkToFit="1"/>
    </xf>
    <xf numFmtId="0" fontId="0" fillId="24" borderId="72" xfId="0" applyFill="1" applyBorder="1" applyAlignment="1">
      <alignment horizontal="left" vertical="center" shrinkToFit="1"/>
    </xf>
    <xf numFmtId="0" fontId="0" fillId="24" borderId="73" xfId="0" applyFill="1" applyBorder="1" applyAlignment="1">
      <alignment horizontal="left" vertical="center" shrinkToFit="1"/>
    </xf>
    <xf numFmtId="0" fontId="13" fillId="0" borderId="0" xfId="0" applyFont="1" applyAlignment="1">
      <alignment horizontal="center"/>
    </xf>
    <xf numFmtId="0" fontId="13" fillId="24" borderId="0" xfId="0" applyFont="1" applyFill="1" applyAlignment="1">
      <alignment horizontal="left"/>
    </xf>
    <xf numFmtId="0" fontId="14" fillId="24" borderId="0" xfId="0" applyFont="1" applyFill="1" applyAlignment="1">
      <alignment horizontal="center"/>
    </xf>
    <xf numFmtId="0" fontId="15" fillId="0" borderId="0" xfId="0" applyFont="1" applyAlignment="1">
      <alignment horizontal="center"/>
    </xf>
    <xf numFmtId="0" fontId="0" fillId="0" borderId="60" xfId="0" applyFill="1" applyBorder="1" applyAlignment="1">
      <alignment horizontal="center"/>
    </xf>
    <xf numFmtId="0" fontId="2" fillId="24" borderId="60" xfId="0" applyFont="1" applyFill="1" applyBorder="1" applyAlignment="1">
      <alignment vertical="center"/>
    </xf>
    <xf numFmtId="55" fontId="2" fillId="0" borderId="60" xfId="0" applyNumberFormat="1" applyFont="1" applyFill="1" applyBorder="1" applyAlignment="1">
      <alignment horizontal="left" vertical="center"/>
    </xf>
    <xf numFmtId="0" fontId="0" fillId="0" borderId="15" xfId="0" applyFill="1" applyBorder="1" applyAlignment="1">
      <alignment horizontal="center" vertical="center" shrinkToFit="1"/>
    </xf>
    <xf numFmtId="0" fontId="0" fillId="0" borderId="47" xfId="0" applyFill="1" applyBorder="1" applyAlignment="1">
      <alignment horizontal="center" vertical="center" shrinkToFit="1"/>
    </xf>
    <xf numFmtId="0" fontId="2" fillId="0" borderId="60" xfId="0" applyFont="1" applyFill="1" applyBorder="1" applyAlignment="1">
      <alignment horizontal="left" vertical="center"/>
    </xf>
    <xf numFmtId="0" fontId="0" fillId="24" borderId="52" xfId="0" applyFont="1" applyFill="1" applyBorder="1" applyAlignment="1">
      <alignment vertical="center" shrinkToFit="1"/>
    </xf>
    <xf numFmtId="0" fontId="0" fillId="24" borderId="71" xfId="0" applyFont="1" applyFill="1" applyBorder="1" applyAlignment="1">
      <alignment vertical="center" shrinkToFit="1"/>
    </xf>
    <xf numFmtId="0" fontId="0" fillId="24" borderId="48" xfId="0" applyFont="1" applyFill="1" applyBorder="1" applyAlignment="1">
      <alignment vertical="center" shrinkToFit="1"/>
    </xf>
    <xf numFmtId="177" fontId="0" fillId="0" borderId="55" xfId="0" applyNumberFormat="1" applyFont="1" applyFill="1" applyBorder="1" applyAlignment="1">
      <alignment horizontal="center" vertical="center"/>
    </xf>
    <xf numFmtId="177" fontId="0" fillId="0" borderId="74" xfId="0" applyNumberFormat="1" applyFont="1" applyFill="1" applyBorder="1" applyAlignment="1">
      <alignment horizontal="center" vertical="center"/>
    </xf>
    <xf numFmtId="177" fontId="0" fillId="0" borderId="43" xfId="0" applyNumberFormat="1" applyFont="1" applyFill="1" applyBorder="1" applyAlignment="1">
      <alignment horizontal="center" vertical="center"/>
    </xf>
    <xf numFmtId="0" fontId="0" fillId="24" borderId="36" xfId="0" applyFont="1" applyFill="1" applyBorder="1" applyAlignment="1">
      <alignment vertical="center" shrinkToFit="1"/>
    </xf>
    <xf numFmtId="0" fontId="0" fillId="24" borderId="68" xfId="0" applyFont="1" applyFill="1" applyBorder="1" applyAlignment="1">
      <alignment vertical="center" shrinkToFit="1"/>
    </xf>
    <xf numFmtId="0" fontId="0" fillId="24" borderId="45" xfId="0" applyFont="1" applyFill="1" applyBorder="1" applyAlignment="1">
      <alignment vertical="center" shrinkToFit="1"/>
    </xf>
    <xf numFmtId="0" fontId="0" fillId="0" borderId="55" xfId="0" applyFill="1" applyBorder="1" applyAlignment="1">
      <alignment horizontal="center" vertical="center" shrinkToFit="1"/>
    </xf>
    <xf numFmtId="0" fontId="0" fillId="0" borderId="43" xfId="0" applyFill="1" applyBorder="1" applyAlignment="1">
      <alignment horizontal="center" vertical="center" shrinkToFit="1"/>
    </xf>
    <xf numFmtId="0" fontId="0" fillId="24" borderId="51" xfId="0" applyFont="1" applyFill="1" applyBorder="1" applyAlignment="1">
      <alignment vertical="center" shrinkToFit="1"/>
    </xf>
    <xf numFmtId="0" fontId="0" fillId="24" borderId="72" xfId="0" applyFont="1" applyFill="1" applyBorder="1" applyAlignment="1">
      <alignment vertical="center" shrinkToFit="1"/>
    </xf>
    <xf numFmtId="0" fontId="0" fillId="24" borderId="73" xfId="0" applyFont="1" applyFill="1" applyBorder="1" applyAlignment="1">
      <alignment vertical="center" shrinkToFit="1"/>
    </xf>
    <xf numFmtId="0" fontId="0" fillId="0" borderId="35" xfId="0" applyFill="1" applyBorder="1" applyAlignment="1">
      <alignment horizontal="center" vertical="center" shrinkToFit="1"/>
    </xf>
    <xf numFmtId="0" fontId="0" fillId="0" borderId="24" xfId="0" applyFill="1" applyBorder="1" applyAlignment="1">
      <alignment horizontal="center" vertical="center" shrinkToFit="1"/>
    </xf>
    <xf numFmtId="0" fontId="0" fillId="24" borderId="69" xfId="0" applyFill="1" applyBorder="1" applyAlignment="1">
      <alignment horizontal="center" vertical="center" shrinkToFit="1"/>
    </xf>
    <xf numFmtId="0" fontId="0" fillId="24" borderId="67" xfId="0" applyFill="1" applyBorder="1" applyAlignment="1">
      <alignment horizontal="center" vertical="center" shrinkToFit="1"/>
    </xf>
    <xf numFmtId="0" fontId="0" fillId="0" borderId="69" xfId="0" applyFill="1" applyBorder="1" applyAlignment="1">
      <alignment horizontal="center" vertical="center" shrinkToFit="1"/>
    </xf>
    <xf numFmtId="0" fontId="0" fillId="0" borderId="67" xfId="0" applyFill="1" applyBorder="1" applyAlignment="1">
      <alignment horizontal="center" vertical="center" shrinkToFit="1"/>
    </xf>
    <xf numFmtId="177" fontId="2" fillId="0" borderId="60" xfId="0" applyNumberFormat="1" applyFont="1" applyFill="1" applyBorder="1" applyAlignment="1">
      <alignment horizontal="right" vertical="center"/>
    </xf>
    <xf numFmtId="0" fontId="0" fillId="0" borderId="34" xfId="0" applyFont="1" applyFill="1" applyBorder="1" applyAlignment="1">
      <alignment horizontal="center" shrinkToFit="1"/>
    </xf>
    <xf numFmtId="180" fontId="0" fillId="25" borderId="34" xfId="42" applyNumberFormat="1" applyFont="1" applyFill="1" applyBorder="1" applyAlignment="1">
      <alignment shrinkToFit="1"/>
    </xf>
    <xf numFmtId="180" fontId="0" fillId="0" borderId="34" xfId="42" applyNumberFormat="1" applyFont="1" applyFill="1" applyBorder="1" applyAlignment="1">
      <alignment shrinkToFit="1"/>
    </xf>
    <xf numFmtId="0" fontId="0" fillId="0" borderId="34" xfId="0" applyFont="1" applyFill="1" applyBorder="1" applyAlignment="1">
      <alignment/>
    </xf>
    <xf numFmtId="0" fontId="0" fillId="0" borderId="60" xfId="0" applyFont="1" applyFill="1" applyBorder="1" applyAlignment="1">
      <alignment horizontal="center"/>
    </xf>
    <xf numFmtId="0" fontId="0" fillId="0" borderId="35"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196" fontId="2" fillId="0" borderId="60" xfId="0" applyNumberFormat="1" applyFont="1" applyFill="1" applyBorder="1" applyAlignment="1">
      <alignment horizontal="center" vertical="center"/>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ill="1" applyBorder="1" applyAlignment="1">
      <alignment horizontal="center" vertical="center" shrinkToFit="1"/>
    </xf>
    <xf numFmtId="0" fontId="6" fillId="0" borderId="35"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2" fillId="0" borderId="60"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center" vertical="center"/>
      <protection locked="0"/>
    </xf>
    <xf numFmtId="0" fontId="0" fillId="0" borderId="55" xfId="0" applyFill="1" applyBorder="1" applyAlignment="1">
      <alignment vertical="center" shrinkToFit="1"/>
    </xf>
    <xf numFmtId="0" fontId="0" fillId="0" borderId="60" xfId="0" applyFill="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2"/>
      </font>
      <fill>
        <patternFill>
          <bgColor indexed="11"/>
        </patternFill>
      </fill>
    </dxf>
    <dxf>
      <font>
        <b/>
        <i/>
        <color indexed="13"/>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明朝"/>
                <a:ea typeface="ＭＳ Ｐ明朝"/>
                <a:cs typeface="ＭＳ Ｐ明朝"/>
              </a:rPr>
              <a:t>売上予算の推移</a:t>
            </a:r>
          </a:p>
        </c:rich>
      </c:tx>
      <c:layout>
        <c:manualLayout>
          <c:xMode val="factor"/>
          <c:yMode val="factor"/>
          <c:x val="0.00375"/>
          <c:y val="0"/>
        </c:manualLayout>
      </c:layout>
      <c:spPr>
        <a:noFill/>
        <a:ln>
          <a:noFill/>
        </a:ln>
      </c:spPr>
    </c:title>
    <c:plotArea>
      <c:layout>
        <c:manualLayout>
          <c:xMode val="edge"/>
          <c:yMode val="edge"/>
          <c:x val="0.01925"/>
          <c:y val="0.075"/>
          <c:w val="0.96175"/>
          <c:h val="0.8885"/>
        </c:manualLayout>
      </c:layout>
      <c:barChart>
        <c:barDir val="col"/>
        <c:grouping val="clustered"/>
        <c:varyColors val="0"/>
        <c:ser>
          <c:idx val="0"/>
          <c:order val="0"/>
          <c:tx>
            <c:strRef>
              <c:f>'売上予算'!$W$4</c:f>
              <c:strCache>
                <c:ptCount val="1"/>
                <c:pt idx="0">
                  <c:v>売上</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'売上予算'!$X$3:$AI$3</c:f>
              <c:numCache/>
            </c:numRef>
          </c:cat>
          <c:val>
            <c:numRef>
              <c:f>'売上予算'!$X$4:$AI$4</c:f>
              <c:numCache/>
            </c:numRef>
          </c:val>
        </c:ser>
        <c:axId val="14543445"/>
        <c:axId val="63782142"/>
      </c:barChart>
      <c:dateAx>
        <c:axId val="14543445"/>
        <c:scaling>
          <c:orientation val="minMax"/>
        </c:scaling>
        <c:axPos val="b"/>
        <c:delete val="0"/>
        <c:numFmt formatCode="yyyy&quot;年&quot;mm&quot;月&quot;" sourceLinked="0"/>
        <c:majorTickMark val="in"/>
        <c:minorTickMark val="none"/>
        <c:tickLblPos val="nextTo"/>
        <c:spPr>
          <a:ln w="3175">
            <a:solidFill>
              <a:srgbClr val="000000"/>
            </a:solidFill>
          </a:ln>
        </c:spPr>
        <c:txPr>
          <a:bodyPr vert="horz" rot="-2700000"/>
          <a:lstStyle/>
          <a:p>
            <a:pPr>
              <a:defRPr lang="en-US" cap="none" sz="1100" b="0" i="0" u="none" baseline="0">
                <a:solidFill>
                  <a:srgbClr val="000000"/>
                </a:solidFill>
                <a:latin typeface="ＭＳ Ｐ明朝"/>
                <a:ea typeface="ＭＳ Ｐ明朝"/>
                <a:cs typeface="ＭＳ Ｐ明朝"/>
              </a:defRPr>
            </a:pPr>
          </a:p>
        </c:txPr>
        <c:crossAx val="63782142"/>
        <c:crosses val="autoZero"/>
        <c:auto val="0"/>
        <c:baseTimeUnit val="months"/>
        <c:majorUnit val="1"/>
        <c:majorTimeUnit val="months"/>
        <c:minorUnit val="1"/>
        <c:minorTimeUnit val="months"/>
        <c:noMultiLvlLbl val="0"/>
      </c:dateAx>
      <c:valAx>
        <c:axId val="6378214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明朝"/>
                <a:ea typeface="ＭＳ Ｐ明朝"/>
                <a:cs typeface="ＭＳ Ｐ明朝"/>
              </a:defRPr>
            </a:pPr>
          </a:p>
        </c:txPr>
        <c:crossAx val="14543445"/>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ＭＳ Ｐ明朝"/>
          <a:ea typeface="ＭＳ Ｐ明朝"/>
          <a:cs typeface="ＭＳ Ｐ明朝"/>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171450</xdr:colOff>
      <xdr:row>15</xdr:row>
      <xdr:rowOff>28575</xdr:rowOff>
    </xdr:from>
    <xdr:to>
      <xdr:col>16</xdr:col>
      <xdr:colOff>628650</xdr:colOff>
      <xdr:row>26</xdr:row>
      <xdr:rowOff>0</xdr:rowOff>
    </xdr:to>
    <xdr:graphicFrame>
      <xdr:nvGraphicFramePr>
        <xdr:cNvPr id="1" name="Chart 2"/>
        <xdr:cNvGraphicFramePr/>
      </xdr:nvGraphicFramePr>
      <xdr:xfrm>
        <a:off x="5848350" y="3762375"/>
        <a:ext cx="5057775" cy="2695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32"/>
  <sheetViews>
    <sheetView showGridLines="0" zoomScalePageLayoutView="0" workbookViewId="0" topLeftCell="A4">
      <selection activeCell="A1" sqref="A1"/>
    </sheetView>
  </sheetViews>
  <sheetFormatPr defaultColWidth="9.00390625" defaultRowHeight="13.5"/>
  <cols>
    <col min="1" max="1" width="3.625" style="0" customWidth="1"/>
    <col min="2" max="2" width="23.50390625" style="0" customWidth="1"/>
    <col min="3" max="3" width="13.625" style="0" customWidth="1"/>
    <col min="4" max="4" width="4.625" style="0" customWidth="1"/>
    <col min="5" max="5" width="13.625" style="0" customWidth="1"/>
    <col min="6" max="6" width="2.00390625" style="0" customWidth="1"/>
    <col min="7" max="7" width="4.25390625" style="0" customWidth="1"/>
    <col min="8" max="8" width="57.50390625" style="0" customWidth="1"/>
  </cols>
  <sheetData>
    <row r="1" spans="1:8" s="49" customFormat="1" ht="25.5">
      <c r="A1"/>
      <c r="B1" s="48" t="str">
        <f>IF(C2="",'表紙'!B14&amp;"　　設定メニュー",C2&amp;"   "&amp;'表紙'!B14&amp;"   設定メニュー")</f>
        <v>株式会社　事例会社   事 業 計 画   設定メニュー</v>
      </c>
      <c r="C1" s="48"/>
      <c r="D1" s="48"/>
      <c r="E1" s="56"/>
      <c r="F1" s="201"/>
      <c r="G1" s="201"/>
      <c r="H1" s="201"/>
    </row>
    <row r="2" spans="2:7" s="53" customFormat="1" ht="16.5" customHeight="1">
      <c r="B2" s="50" t="s">
        <v>72</v>
      </c>
      <c r="C2" s="285" t="s">
        <v>234</v>
      </c>
      <c r="D2" s="286"/>
      <c r="E2" s="287"/>
      <c r="G2" s="64" t="s">
        <v>165</v>
      </c>
    </row>
    <row r="3" spans="2:8" s="53" customFormat="1" ht="16.5" customHeight="1">
      <c r="B3" s="51" t="s">
        <v>73</v>
      </c>
      <c r="C3" s="54">
        <v>2009</v>
      </c>
      <c r="D3" s="288" t="s">
        <v>120</v>
      </c>
      <c r="E3" s="289"/>
      <c r="G3" s="199">
        <f>1</f>
        <v>1</v>
      </c>
      <c r="H3" s="200" t="s">
        <v>166</v>
      </c>
    </row>
    <row r="4" spans="2:8" s="53" customFormat="1" ht="16.5" customHeight="1">
      <c r="B4" s="51" t="s">
        <v>74</v>
      </c>
      <c r="C4" s="54">
        <v>1</v>
      </c>
      <c r="D4" s="288" t="s">
        <v>121</v>
      </c>
      <c r="E4" s="289"/>
      <c r="G4" s="199"/>
      <c r="H4" s="200" t="s">
        <v>167</v>
      </c>
    </row>
    <row r="5" spans="2:8" s="53" customFormat="1" ht="16.5" customHeight="1">
      <c r="B5" s="51" t="s">
        <v>75</v>
      </c>
      <c r="C5" s="54">
        <v>32</v>
      </c>
      <c r="D5" s="288" t="s">
        <v>122</v>
      </c>
      <c r="E5" s="289"/>
      <c r="G5" s="199">
        <v>2</v>
      </c>
      <c r="H5" s="200" t="s">
        <v>168</v>
      </c>
    </row>
    <row r="6" spans="2:8" s="53" customFormat="1" ht="16.5" customHeight="1">
      <c r="B6" s="51" t="s">
        <v>76</v>
      </c>
      <c r="C6" s="277" t="s">
        <v>190</v>
      </c>
      <c r="D6" s="278"/>
      <c r="E6" s="279"/>
      <c r="G6" s="199"/>
      <c r="H6" s="200" t="s">
        <v>169</v>
      </c>
    </row>
    <row r="7" spans="2:8" s="53" customFormat="1" ht="16.5" customHeight="1">
      <c r="B7" s="55" t="s">
        <v>127</v>
      </c>
      <c r="C7" s="52">
        <v>70</v>
      </c>
      <c r="D7" s="275" t="str">
        <f>IF(C6="（単位：円）","円",IF(C6="（単位：万円）","万円","千円"))</f>
        <v>千円</v>
      </c>
      <c r="E7" s="276"/>
      <c r="G7" s="199">
        <v>3</v>
      </c>
      <c r="H7" s="200" t="s">
        <v>170</v>
      </c>
    </row>
    <row r="8" spans="2:8" s="53" customFormat="1" ht="16.5" customHeight="1">
      <c r="B8" s="55" t="s">
        <v>60</v>
      </c>
      <c r="C8" s="290">
        <v>0.42</v>
      </c>
      <c r="D8" s="291"/>
      <c r="E8" s="292"/>
      <c r="G8" s="199">
        <v>4</v>
      </c>
      <c r="H8" s="200" t="s">
        <v>172</v>
      </c>
    </row>
    <row r="9" spans="2:8" s="53" customFormat="1" ht="16.5" customHeight="1">
      <c r="B9" s="280" t="s">
        <v>126</v>
      </c>
      <c r="C9" s="293" t="s">
        <v>123</v>
      </c>
      <c r="D9" s="294"/>
      <c r="E9" s="295"/>
      <c r="G9" s="199"/>
      <c r="H9" s="200" t="s">
        <v>171</v>
      </c>
    </row>
    <row r="10" spans="2:8" s="53" customFormat="1" ht="16.5" customHeight="1">
      <c r="B10" s="281"/>
      <c r="C10" s="271" t="s">
        <v>124</v>
      </c>
      <c r="D10" s="272"/>
      <c r="E10" s="273"/>
      <c r="G10" s="199">
        <f>G8+1</f>
        <v>5</v>
      </c>
      <c r="H10" s="200" t="s">
        <v>173</v>
      </c>
    </row>
    <row r="11" spans="2:8" s="53" customFormat="1" ht="16.5" customHeight="1">
      <c r="B11" s="281"/>
      <c r="C11" s="271" t="s">
        <v>125</v>
      </c>
      <c r="D11" s="272"/>
      <c r="E11" s="273"/>
      <c r="G11" s="199"/>
      <c r="H11" s="200" t="s">
        <v>174</v>
      </c>
    </row>
    <row r="12" spans="2:8" s="53" customFormat="1" ht="16.5" customHeight="1">
      <c r="B12" s="281"/>
      <c r="C12" s="271" t="s">
        <v>141</v>
      </c>
      <c r="D12" s="272"/>
      <c r="E12" s="273"/>
      <c r="G12" s="199"/>
      <c r="H12" s="200" t="s">
        <v>175</v>
      </c>
    </row>
    <row r="13" spans="2:8" s="53" customFormat="1" ht="16.5" customHeight="1">
      <c r="B13" s="281"/>
      <c r="C13" s="271"/>
      <c r="D13" s="272"/>
      <c r="E13" s="273"/>
      <c r="G13" s="199"/>
      <c r="H13" s="200" t="s">
        <v>176</v>
      </c>
    </row>
    <row r="14" spans="2:8" s="53" customFormat="1" ht="16.5" customHeight="1">
      <c r="B14" s="281"/>
      <c r="C14" s="271"/>
      <c r="D14" s="272"/>
      <c r="E14" s="273"/>
      <c r="G14" s="199">
        <v>6</v>
      </c>
      <c r="H14" s="200" t="s">
        <v>221</v>
      </c>
    </row>
    <row r="15" spans="2:8" s="53" customFormat="1" ht="16.5" customHeight="1">
      <c r="B15" s="281"/>
      <c r="C15" s="271"/>
      <c r="D15" s="272"/>
      <c r="E15" s="273"/>
      <c r="G15" s="199"/>
      <c r="H15" s="200" t="s">
        <v>177</v>
      </c>
    </row>
    <row r="16" spans="2:8" s="53" customFormat="1" ht="16.5" customHeight="1">
      <c r="B16" s="281"/>
      <c r="C16" s="271"/>
      <c r="D16" s="272"/>
      <c r="E16" s="273"/>
      <c r="G16" s="199"/>
      <c r="H16" s="200" t="s">
        <v>178</v>
      </c>
    </row>
    <row r="17" spans="2:8" s="53" customFormat="1" ht="16.5" customHeight="1">
      <c r="B17" s="281"/>
      <c r="C17" s="271"/>
      <c r="D17" s="272"/>
      <c r="E17" s="273"/>
      <c r="H17" s="49"/>
    </row>
    <row r="18" spans="2:5" s="53" customFormat="1" ht="16.5" customHeight="1">
      <c r="B18" s="270"/>
      <c r="C18" s="282"/>
      <c r="D18" s="283"/>
      <c r="E18" s="284"/>
    </row>
    <row r="19" spans="2:5" ht="13.5">
      <c r="B19" s="47"/>
      <c r="C19" s="47"/>
      <c r="D19" s="47"/>
      <c r="E19" s="47"/>
    </row>
    <row r="20" spans="1:5" ht="17.25">
      <c r="A20" s="64" t="s">
        <v>227</v>
      </c>
      <c r="B20" s="47"/>
      <c r="C20" s="47"/>
      <c r="D20" s="47"/>
      <c r="E20" s="47"/>
    </row>
    <row r="21" spans="1:8" ht="13.5">
      <c r="A21" s="199">
        <v>1</v>
      </c>
      <c r="B21" s="274" t="s">
        <v>179</v>
      </c>
      <c r="C21" s="274"/>
      <c r="D21" s="274"/>
      <c r="E21" s="274"/>
      <c r="F21" s="274"/>
      <c r="G21" s="274"/>
      <c r="H21" s="274"/>
    </row>
    <row r="22" spans="1:8" ht="13.5">
      <c r="A22" s="199">
        <v>2</v>
      </c>
      <c r="B22" s="274" t="s">
        <v>181</v>
      </c>
      <c r="C22" s="274"/>
      <c r="D22" s="274"/>
      <c r="E22" s="274"/>
      <c r="F22" s="274"/>
      <c r="G22" s="274"/>
      <c r="H22" s="274"/>
    </row>
    <row r="23" spans="1:8" ht="13.5">
      <c r="A23" s="199">
        <v>3</v>
      </c>
      <c r="B23" s="274" t="s">
        <v>180</v>
      </c>
      <c r="C23" s="274"/>
      <c r="D23" s="274"/>
      <c r="E23" s="274"/>
      <c r="F23" s="274"/>
      <c r="G23" s="274"/>
      <c r="H23" s="274"/>
    </row>
    <row r="24" spans="1:8" ht="13.5">
      <c r="A24" s="199">
        <v>4</v>
      </c>
      <c r="B24" s="274" t="s">
        <v>182</v>
      </c>
      <c r="C24" s="274"/>
      <c r="D24" s="274"/>
      <c r="E24" s="274"/>
      <c r="F24" s="274"/>
      <c r="G24" s="274"/>
      <c r="H24" s="274"/>
    </row>
    <row r="25" spans="1:8" ht="13.5">
      <c r="A25" s="199">
        <v>5</v>
      </c>
      <c r="B25" s="274" t="s">
        <v>183</v>
      </c>
      <c r="C25" s="274"/>
      <c r="D25" s="274"/>
      <c r="E25" s="274"/>
      <c r="F25" s="274"/>
      <c r="G25" s="274"/>
      <c r="H25" s="274"/>
    </row>
    <row r="26" spans="1:8" ht="13.5">
      <c r="A26" s="199">
        <v>6</v>
      </c>
      <c r="B26" s="274" t="s">
        <v>185</v>
      </c>
      <c r="C26" s="274"/>
      <c r="D26" s="274"/>
      <c r="E26" s="274"/>
      <c r="F26" s="274"/>
      <c r="G26" s="274"/>
      <c r="H26" s="274"/>
    </row>
    <row r="27" spans="1:8" ht="13.5">
      <c r="A27" s="199">
        <v>7</v>
      </c>
      <c r="B27" s="274" t="s">
        <v>186</v>
      </c>
      <c r="C27" s="274"/>
      <c r="D27" s="274"/>
      <c r="E27" s="274"/>
      <c r="F27" s="274"/>
      <c r="G27" s="274"/>
      <c r="H27" s="274"/>
    </row>
    <row r="28" spans="1:8" ht="13.5">
      <c r="A28" s="199">
        <v>8</v>
      </c>
      <c r="B28" s="274" t="s">
        <v>187</v>
      </c>
      <c r="C28" s="274"/>
      <c r="D28" s="274"/>
      <c r="E28" s="274"/>
      <c r="F28" s="274"/>
      <c r="G28" s="274"/>
      <c r="H28" s="274"/>
    </row>
    <row r="29" spans="1:8" ht="13.5">
      <c r="A29" s="199">
        <v>9</v>
      </c>
      <c r="B29" s="274" t="s">
        <v>188</v>
      </c>
      <c r="C29" s="274"/>
      <c r="D29" s="274"/>
      <c r="E29" s="274"/>
      <c r="F29" s="274"/>
      <c r="G29" s="274"/>
      <c r="H29" s="274"/>
    </row>
    <row r="30" spans="1:8" ht="13.5">
      <c r="A30" s="199">
        <v>10</v>
      </c>
      <c r="B30" s="274" t="s">
        <v>189</v>
      </c>
      <c r="C30" s="274"/>
      <c r="D30" s="274"/>
      <c r="E30" s="274"/>
      <c r="F30" s="274"/>
      <c r="G30" s="274"/>
      <c r="H30" s="274"/>
    </row>
    <row r="31" ht="13.5">
      <c r="A31" s="199"/>
    </row>
    <row r="32" ht="13.5">
      <c r="A32" s="199"/>
    </row>
  </sheetData>
  <sheetProtection/>
  <mergeCells count="28">
    <mergeCell ref="B29:H29"/>
    <mergeCell ref="B30:H30"/>
    <mergeCell ref="B25:H25"/>
    <mergeCell ref="B26:H26"/>
    <mergeCell ref="B27:H27"/>
    <mergeCell ref="B24:H24"/>
    <mergeCell ref="B28:H28"/>
    <mergeCell ref="C2:E2"/>
    <mergeCell ref="D3:E3"/>
    <mergeCell ref="D4:E4"/>
    <mergeCell ref="D5:E5"/>
    <mergeCell ref="C8:E8"/>
    <mergeCell ref="C10:E10"/>
    <mergeCell ref="C9:E9"/>
    <mergeCell ref="B23:H23"/>
    <mergeCell ref="D7:E7"/>
    <mergeCell ref="C6:E6"/>
    <mergeCell ref="B9:B18"/>
    <mergeCell ref="C17:E17"/>
    <mergeCell ref="C18:E18"/>
    <mergeCell ref="C11:E11"/>
    <mergeCell ref="C12:E12"/>
    <mergeCell ref="C13:E13"/>
    <mergeCell ref="C14:E14"/>
    <mergeCell ref="C15:E15"/>
    <mergeCell ref="B21:H21"/>
    <mergeCell ref="B22:H22"/>
    <mergeCell ref="C16:E16"/>
  </mergeCells>
  <dataValidations count="8">
    <dataValidation type="list" allowBlank="1" showInputMessage="1" showErrorMessage="1" sqref="C3">
      <formula1>"2007,2008,2009,2010,2011,2012,2013,2014,2015"</formula1>
    </dataValidation>
    <dataValidation allowBlank="1" showInputMessage="1" showErrorMessage="1" imeMode="hiragana" sqref="H3:H16 B21:B22"/>
    <dataValidation type="list" allowBlank="1" showInputMessage="1" showErrorMessage="1" sqref="C6:E6">
      <formula1>"（単位：円）,（単位：千円）,（単位：万円）"</formula1>
    </dataValidation>
    <dataValidation allowBlank="1" showInputMessage="1" showErrorMessage="1" imeMode="disabled" sqref="A21:A27 G3:G16"/>
    <dataValidation type="list" allowBlank="1" showInputMessage="1" showErrorMessage="1" sqref="C4">
      <formula1>"1,2,3,4,5,6,7,8,9,10,11,12"</formula1>
    </dataValidation>
    <dataValidation allowBlank="1" showInputMessage="1" showErrorMessage="1" imeMode="hiragana" sqref="C2:E2"/>
    <dataValidation allowBlank="1" showInputMessage="1" showErrorMessage="1" imeMode="off" sqref="C5 C7 C8:E8"/>
    <dataValidation allowBlank="1" showInputMessage="1" showErrorMessage="1" imeMode="hiragana" sqref="C9:C18"/>
  </dataValidations>
  <printOptions horizontalCentered="1" verticalCentered="1"/>
  <pageMargins left="0.4724409448818898" right="0.4724409448818898" top="0.7874015748031497" bottom="0.8267716535433072" header="0.3937007874015748" footer="0.5118110236220472"/>
  <pageSetup blackAndWhite="1" fitToHeight="1" fitToWidth="1" orientation="landscape" paperSize="9" r:id="rId3"/>
  <headerFooter alignWithMargins="0">
    <oddHeader>&amp;L&amp;D  &amp;T&amp;C&amp;A</oddHeader>
    <oddFooter>&amp;L&amp;F</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K27"/>
  <sheetViews>
    <sheetView showGridLines="0" zoomScalePageLayoutView="0" workbookViewId="0" topLeftCell="A1">
      <selection activeCell="A1" sqref="A1"/>
    </sheetView>
  </sheetViews>
  <sheetFormatPr defaultColWidth="9.00390625" defaultRowHeight="13.5"/>
  <cols>
    <col min="1" max="1" width="1.625" style="0" customWidth="1"/>
    <col min="2" max="2" width="30.625" style="0" customWidth="1"/>
    <col min="9" max="9" width="2.375" style="0" customWidth="1"/>
    <col min="10" max="10" width="23.25390625" style="0" customWidth="1"/>
    <col min="11" max="11" width="5.25390625" style="0" bestFit="1" customWidth="1"/>
  </cols>
  <sheetData>
    <row r="1" spans="10:11" ht="13.5">
      <c r="J1" s="62" t="s">
        <v>138</v>
      </c>
      <c r="K1" s="66" t="s">
        <v>140</v>
      </c>
    </row>
    <row r="2" spans="10:11" ht="13.5">
      <c r="J2" s="63" t="str">
        <f>IF(メニュー!C9="","メニューで未設定",IF(K2="",メニュー!C9&amp;"　殿",メニュー!C9&amp;"　"&amp;K2))</f>
        <v>○○銀行　殿</v>
      </c>
      <c r="K2" s="67" t="s">
        <v>139</v>
      </c>
    </row>
    <row r="3" spans="10:11" ht="13.5">
      <c r="J3" s="63" t="str">
        <f>IF(メニュー!C10="","メニューで未設定",IF(K3="",メニュー!C10&amp;"　殿",メニュー!C10&amp;"　"&amp;K3))</f>
        <v>□□信用金庫　殿</v>
      </c>
      <c r="K3" s="67" t="s">
        <v>139</v>
      </c>
    </row>
    <row r="4" spans="2:11" ht="24">
      <c r="B4" s="297" t="s">
        <v>222</v>
      </c>
      <c r="C4" s="297"/>
      <c r="J4" s="63" t="str">
        <f>IF(メニュー!C11="","メニューで未設定",IF(K4="",メニュー!C11&amp;"　殿",メニュー!C11&amp;"　"&amp;K4))</f>
        <v>××信用組合　殿</v>
      </c>
      <c r="K4" s="67" t="s">
        <v>139</v>
      </c>
    </row>
    <row r="5" spans="10:11" ht="13.5" customHeight="1">
      <c r="J5" s="63" t="str">
        <f>IF(メニュー!C12="","メニューで未設定",IF(K5="",メニュー!C12&amp;"　殿",メニュー!C12&amp;"　"&amp;K5))</f>
        <v>△△商事　株式会社　殿</v>
      </c>
      <c r="K5" s="67" t="s">
        <v>139</v>
      </c>
    </row>
    <row r="6" spans="4:11" ht="13.5" customHeight="1">
      <c r="D6" s="65"/>
      <c r="J6" s="63" t="str">
        <f>IF(メニュー!C13="","メニューで未設定",IF(K6="",メニュー!C13&amp;"　殿",メニュー!C13&amp;"　"&amp;K6))</f>
        <v>メニューで未設定</v>
      </c>
      <c r="K6" s="67" t="s">
        <v>139</v>
      </c>
    </row>
    <row r="7" spans="10:11" ht="13.5">
      <c r="J7" s="63" t="str">
        <f>IF(メニュー!C14="","メニューで未設定",IF(K7="",メニュー!C14&amp;"　殿",メニュー!C14&amp;"　"&amp;K7))</f>
        <v>メニューで未設定</v>
      </c>
      <c r="K7" s="67" t="s">
        <v>139</v>
      </c>
    </row>
    <row r="8" spans="10:11" ht="13.5">
      <c r="J8" s="63" t="str">
        <f>IF(メニュー!C15="","メニューで未設定",IF(K8="",メニュー!C15&amp;"　殿",メニュー!C15&amp;"　"&amp;K8))</f>
        <v>メニューで未設定</v>
      </c>
      <c r="K8" s="67" t="s">
        <v>139</v>
      </c>
    </row>
    <row r="9" spans="2:11" ht="21">
      <c r="B9" s="299" t="str">
        <f>IF(メニュー!C5="","","第　"&amp;メニュー!C5&amp;"　期")</f>
        <v>第　32　期</v>
      </c>
      <c r="C9" s="299"/>
      <c r="D9" s="299"/>
      <c r="E9" s="299"/>
      <c r="F9" s="299"/>
      <c r="G9" s="299"/>
      <c r="H9" s="299"/>
      <c r="J9" s="63" t="str">
        <f>IF(メニュー!C16="","メニューで未設定",IF(K9="",メニュー!C16&amp;"　殿",メニュー!C16&amp;"　"&amp;K9))</f>
        <v>メニューで未設定</v>
      </c>
      <c r="K9" s="67" t="s">
        <v>139</v>
      </c>
    </row>
    <row r="10" spans="10:11" ht="13.5">
      <c r="J10" s="63" t="str">
        <f>IF(メニュー!C17="","メニューで未設定",IF(K10="",メニュー!C17&amp;"　殿",メニュー!C17&amp;"　"&amp;K10))</f>
        <v>メニューで未設定</v>
      </c>
      <c r="K10" s="67" t="s">
        <v>139</v>
      </c>
    </row>
    <row r="11" spans="10:11" ht="13.5">
      <c r="J11" s="63" t="str">
        <f>IF(メニュー!C18="","メニューで未設定",IF(K11="",メニュー!C18&amp;"　殿",メニュー!C18&amp;"　"&amp;K11))</f>
        <v>メニューで未設定</v>
      </c>
      <c r="K11" s="67" t="s">
        <v>139</v>
      </c>
    </row>
    <row r="12" ht="13.5">
      <c r="J12" s="63"/>
    </row>
    <row r="14" spans="2:8" ht="32.25">
      <c r="B14" s="298" t="s">
        <v>142</v>
      </c>
      <c r="C14" s="298"/>
      <c r="D14" s="298"/>
      <c r="E14" s="298"/>
      <c r="F14" s="298"/>
      <c r="G14" s="298"/>
      <c r="H14" s="298"/>
    </row>
    <row r="20" spans="2:8" ht="21">
      <c r="B20" s="299" t="str">
        <f>IF(OR(メニュー!C4="",メニュー!C5=""),"","自："&amp;YEAR('売上予算'!F2)&amp;"年"&amp;MONTH('売上予算'!F2)&amp;"月 ～ 至："&amp;YEAR('売上予算'!Q2)&amp;"年"&amp;MONTH('売上予算'!Q2)&amp;"月")</f>
        <v>自：2009年1月 ～ 至：2009年12月</v>
      </c>
      <c r="C20" s="299"/>
      <c r="D20" s="299"/>
      <c r="E20" s="299"/>
      <c r="F20" s="299"/>
      <c r="G20" s="299"/>
      <c r="H20" s="299"/>
    </row>
    <row r="27" spans="2:8" ht="24">
      <c r="B27" s="296" t="str">
        <f>IF(メニュー!C2="","",メニュー!C2)</f>
        <v>株式会社　事例会社</v>
      </c>
      <c r="C27" s="296"/>
      <c r="D27" s="296"/>
      <c r="E27" s="296"/>
      <c r="F27" s="296"/>
      <c r="G27" s="296"/>
      <c r="H27" s="296"/>
    </row>
  </sheetData>
  <sheetProtection/>
  <mergeCells count="5">
    <mergeCell ref="B27:H27"/>
    <mergeCell ref="B4:C4"/>
    <mergeCell ref="B14:H14"/>
    <mergeCell ref="B9:H9"/>
    <mergeCell ref="B20:H20"/>
  </mergeCells>
  <dataValidations count="4">
    <dataValidation type="list" allowBlank="1" showInputMessage="1" showErrorMessage="1" sqref="B4">
      <formula1>$J$2:$J$11</formula1>
    </dataValidation>
    <dataValidation type="list" allowBlank="1" showInputMessage="1" showErrorMessage="1" sqref="D6">
      <formula1>"殿,様"</formula1>
    </dataValidation>
    <dataValidation type="list" allowBlank="1" showInputMessage="1" showErrorMessage="1" sqref="B14:H14">
      <formula1>"利 益 ・ 資 金 計 画,利 益 計 画,事 業 計 画"</formula1>
    </dataValidation>
    <dataValidation type="list" allowBlank="1" showInputMessage="1" showErrorMessage="1" sqref="K2:K11">
      <formula1>"殿,様,先生"</formula1>
    </dataValidation>
  </dataValidations>
  <printOptions horizontalCentered="1"/>
  <pageMargins left="0.8267716535433072" right="0.15748031496062992" top="0.7874015748031497" bottom="0.8661417322834646" header="0.35433070866141736" footer="0.4330708661417323"/>
  <pageSetup blackAndWhite="1" fitToHeight="1" fitToWidth="1"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B1:AI36"/>
  <sheetViews>
    <sheetView showGridLines="0" zoomScalePageLayoutView="0" workbookViewId="0" topLeftCell="A1">
      <selection activeCell="H29" sqref="H29"/>
    </sheetView>
  </sheetViews>
  <sheetFormatPr defaultColWidth="9.00390625" defaultRowHeight="13.5"/>
  <cols>
    <col min="1" max="1" width="1.625" style="1" customWidth="1"/>
    <col min="2" max="2" width="3.50390625" style="1" bestFit="1" customWidth="1"/>
    <col min="3" max="3" width="16.625" style="1" customWidth="1"/>
    <col min="4" max="5" width="9.125" style="1" customWidth="1"/>
    <col min="6" max="17" width="8.625" style="1" customWidth="1"/>
    <col min="18" max="18" width="4.00390625" style="1" customWidth="1"/>
    <col min="19" max="19" width="9.00390625" style="1" customWidth="1"/>
    <col min="20" max="20" width="43.00390625" style="1" customWidth="1"/>
    <col min="21" max="21" width="4.375" style="1" customWidth="1"/>
    <col min="22" max="22" width="17.25390625" style="1" customWidth="1"/>
    <col min="23" max="35" width="8.25390625" style="1" customWidth="1"/>
    <col min="36" max="16384" width="9.00390625" style="1" customWidth="1"/>
  </cols>
  <sheetData>
    <row r="1" spans="3:21" ht="24.75" customHeight="1">
      <c r="C1" s="61">
        <f>F2</f>
        <v>39814</v>
      </c>
      <c r="D1" s="4" t="s">
        <v>129</v>
      </c>
      <c r="E1" s="302">
        <f>Q2</f>
        <v>40148</v>
      </c>
      <c r="F1" s="302"/>
      <c r="G1" s="305" t="str">
        <f>IF(メニュー!C5="","","第"&amp;メニュー!C5&amp;"期")</f>
        <v>第32期</v>
      </c>
      <c r="H1" s="305"/>
      <c r="I1" s="301" t="s">
        <v>23</v>
      </c>
      <c r="J1" s="301"/>
      <c r="K1" s="301"/>
      <c r="P1" s="300" t="str">
        <f>IF(メニュー!$C$6="","(単位：千円）",メニュー!$C$6)</f>
        <v>（単位：千円）</v>
      </c>
      <c r="Q1" s="300"/>
      <c r="S1" s="5" t="s">
        <v>21</v>
      </c>
      <c r="T1" s="123" t="str">
        <f>D16</f>
        <v>重　点　販　売　方　針</v>
      </c>
      <c r="U1" s="123"/>
    </row>
    <row r="2" spans="2:35" ht="15" customHeight="1">
      <c r="B2" s="320" t="s">
        <v>111</v>
      </c>
      <c r="C2" s="322" t="s">
        <v>112</v>
      </c>
      <c r="D2" s="303" t="s">
        <v>130</v>
      </c>
      <c r="E2" s="324" t="s">
        <v>113</v>
      </c>
      <c r="F2" s="68">
        <f>IF(OR(メニュー!C3="",メニュー!C4=""),DATE(2100,1,1),DATE(メニュー!C3,メニュー!C4,1))</f>
        <v>39814</v>
      </c>
      <c r="G2" s="69">
        <f>DATE(YEAR(F2),MONTH(F2)+1,1)</f>
        <v>39845</v>
      </c>
      <c r="H2" s="69">
        <f aca="true" t="shared" si="0" ref="H2:Q2">DATE(YEAR(G2),MONTH(G2)+1,1)</f>
        <v>39873</v>
      </c>
      <c r="I2" s="69">
        <f t="shared" si="0"/>
        <v>39904</v>
      </c>
      <c r="J2" s="69">
        <f t="shared" si="0"/>
        <v>39934</v>
      </c>
      <c r="K2" s="69">
        <f t="shared" si="0"/>
        <v>39965</v>
      </c>
      <c r="L2" s="69">
        <f t="shared" si="0"/>
        <v>39995</v>
      </c>
      <c r="M2" s="69">
        <f t="shared" si="0"/>
        <v>40026</v>
      </c>
      <c r="N2" s="69">
        <f t="shared" si="0"/>
        <v>40057</v>
      </c>
      <c r="O2" s="69">
        <f t="shared" si="0"/>
        <v>40087</v>
      </c>
      <c r="P2" s="69">
        <f t="shared" si="0"/>
        <v>40118</v>
      </c>
      <c r="Q2" s="70">
        <f t="shared" si="0"/>
        <v>40148</v>
      </c>
      <c r="S2" s="5">
        <f>1</f>
        <v>1</v>
      </c>
      <c r="T2" s="234" t="s">
        <v>9</v>
      </c>
      <c r="U2" s="6"/>
      <c r="W2" s="119" t="s">
        <v>114</v>
      </c>
      <c r="X2" s="119"/>
      <c r="Y2" s="119"/>
      <c r="Z2" s="119"/>
      <c r="AA2" s="119"/>
      <c r="AB2" s="119"/>
      <c r="AC2" s="119"/>
      <c r="AD2" s="119"/>
      <c r="AE2" s="119"/>
      <c r="AF2" s="119"/>
      <c r="AG2" s="119"/>
      <c r="AH2" s="119"/>
      <c r="AI2" s="119"/>
    </row>
    <row r="3" spans="2:35" ht="15" customHeight="1">
      <c r="B3" s="321"/>
      <c r="C3" s="323"/>
      <c r="D3" s="304"/>
      <c r="E3" s="325"/>
      <c r="F3" s="71">
        <f>F2</f>
        <v>39814</v>
      </c>
      <c r="G3" s="72">
        <f aca="true" t="shared" si="1" ref="G3:Q3">G2</f>
        <v>39845</v>
      </c>
      <c r="H3" s="72">
        <f t="shared" si="1"/>
        <v>39873</v>
      </c>
      <c r="I3" s="72">
        <f t="shared" si="1"/>
        <v>39904</v>
      </c>
      <c r="J3" s="72">
        <f t="shared" si="1"/>
        <v>39934</v>
      </c>
      <c r="K3" s="72">
        <f t="shared" si="1"/>
        <v>39965</v>
      </c>
      <c r="L3" s="72">
        <f t="shared" si="1"/>
        <v>39995</v>
      </c>
      <c r="M3" s="72">
        <f t="shared" si="1"/>
        <v>40026</v>
      </c>
      <c r="N3" s="72">
        <f t="shared" si="1"/>
        <v>40057</v>
      </c>
      <c r="O3" s="72">
        <f t="shared" si="1"/>
        <v>40087</v>
      </c>
      <c r="P3" s="72">
        <f t="shared" si="1"/>
        <v>40118</v>
      </c>
      <c r="Q3" s="73">
        <f t="shared" si="1"/>
        <v>40148</v>
      </c>
      <c r="S3" s="5">
        <f aca="true" t="shared" si="2" ref="S3:S14">S2+1</f>
        <v>2</v>
      </c>
      <c r="T3" s="234" t="s">
        <v>10</v>
      </c>
      <c r="U3" s="6"/>
      <c r="V3" s="202" t="s">
        <v>191</v>
      </c>
      <c r="W3" s="120" t="s">
        <v>115</v>
      </c>
      <c r="X3" s="121">
        <f>F3</f>
        <v>39814</v>
      </c>
      <c r="Y3" s="121">
        <f aca="true" t="shared" si="3" ref="Y3:AI3">G3</f>
        <v>39845</v>
      </c>
      <c r="Z3" s="121">
        <f t="shared" si="3"/>
        <v>39873</v>
      </c>
      <c r="AA3" s="121">
        <f t="shared" si="3"/>
        <v>39904</v>
      </c>
      <c r="AB3" s="121">
        <f t="shared" si="3"/>
        <v>39934</v>
      </c>
      <c r="AC3" s="121">
        <f t="shared" si="3"/>
        <v>39965</v>
      </c>
      <c r="AD3" s="121">
        <f t="shared" si="3"/>
        <v>39995</v>
      </c>
      <c r="AE3" s="121">
        <f t="shared" si="3"/>
        <v>40026</v>
      </c>
      <c r="AF3" s="121">
        <f t="shared" si="3"/>
        <v>40057</v>
      </c>
      <c r="AG3" s="121">
        <f t="shared" si="3"/>
        <v>40087</v>
      </c>
      <c r="AH3" s="121">
        <f t="shared" si="3"/>
        <v>40118</v>
      </c>
      <c r="AI3" s="121">
        <f t="shared" si="3"/>
        <v>40148</v>
      </c>
    </row>
    <row r="4" spans="2:35" ht="19.5" customHeight="1">
      <c r="B4" s="74">
        <f>1</f>
        <v>1</v>
      </c>
      <c r="C4" s="91" t="s">
        <v>207</v>
      </c>
      <c r="D4" s="225">
        <v>60000</v>
      </c>
      <c r="E4" s="225">
        <v>54000</v>
      </c>
      <c r="F4" s="226">
        <v>6000</v>
      </c>
      <c r="G4" s="227">
        <v>5260</v>
      </c>
      <c r="H4" s="227">
        <v>3650</v>
      </c>
      <c r="I4" s="227">
        <v>4390</v>
      </c>
      <c r="J4" s="227">
        <v>4460</v>
      </c>
      <c r="K4" s="227">
        <v>5570</v>
      </c>
      <c r="L4" s="227">
        <v>5890</v>
      </c>
      <c r="M4" s="227">
        <v>4220</v>
      </c>
      <c r="N4" s="227">
        <v>4170</v>
      </c>
      <c r="O4" s="227">
        <v>3950</v>
      </c>
      <c r="P4" s="227">
        <v>3280</v>
      </c>
      <c r="Q4" s="75">
        <f>E4-SUM(F4:P4)</f>
        <v>3160</v>
      </c>
      <c r="S4" s="5">
        <f t="shared" si="2"/>
        <v>3</v>
      </c>
      <c r="T4" s="234" t="s">
        <v>8</v>
      </c>
      <c r="U4" s="6"/>
      <c r="V4" s="202" t="s">
        <v>191</v>
      </c>
      <c r="W4" s="120" t="s">
        <v>116</v>
      </c>
      <c r="X4" s="122">
        <f>F14</f>
        <v>19930</v>
      </c>
      <c r="Y4" s="122">
        <f aca="true" t="shared" si="4" ref="Y4:AI4">G14</f>
        <v>19290</v>
      </c>
      <c r="Z4" s="122">
        <f t="shared" si="4"/>
        <v>16810</v>
      </c>
      <c r="AA4" s="122">
        <f t="shared" si="4"/>
        <v>18700</v>
      </c>
      <c r="AB4" s="122">
        <f t="shared" si="4"/>
        <v>16300</v>
      </c>
      <c r="AC4" s="122">
        <f t="shared" si="4"/>
        <v>18010</v>
      </c>
      <c r="AD4" s="122">
        <f t="shared" si="4"/>
        <v>19770</v>
      </c>
      <c r="AE4" s="122">
        <f t="shared" si="4"/>
        <v>17000</v>
      </c>
      <c r="AF4" s="122">
        <f t="shared" si="4"/>
        <v>16930</v>
      </c>
      <c r="AG4" s="122">
        <f t="shared" si="4"/>
        <v>17450</v>
      </c>
      <c r="AH4" s="122">
        <f t="shared" si="4"/>
        <v>15850</v>
      </c>
      <c r="AI4" s="122">
        <f t="shared" si="4"/>
        <v>16360</v>
      </c>
    </row>
    <row r="5" spans="2:23" ht="19.5" customHeight="1">
      <c r="B5" s="77">
        <f>B4+1</f>
        <v>2</v>
      </c>
      <c r="C5" s="92" t="s">
        <v>208</v>
      </c>
      <c r="D5" s="228">
        <v>40000</v>
      </c>
      <c r="E5" s="228">
        <v>44000</v>
      </c>
      <c r="F5" s="229">
        <v>3310</v>
      </c>
      <c r="G5" s="230">
        <v>3170</v>
      </c>
      <c r="H5" s="230">
        <v>4520</v>
      </c>
      <c r="I5" s="230">
        <v>4500</v>
      </c>
      <c r="J5" s="230">
        <v>2970</v>
      </c>
      <c r="K5" s="230">
        <v>4340</v>
      </c>
      <c r="L5" s="230">
        <v>4550</v>
      </c>
      <c r="M5" s="230">
        <v>4440</v>
      </c>
      <c r="N5" s="230">
        <v>2510</v>
      </c>
      <c r="O5" s="230">
        <v>3630</v>
      </c>
      <c r="P5" s="230">
        <v>2640</v>
      </c>
      <c r="Q5" s="75">
        <f aca="true" t="shared" si="5" ref="Q5:Q13">E5-SUM(F5:P5)</f>
        <v>3420</v>
      </c>
      <c r="S5" s="5">
        <f t="shared" si="2"/>
        <v>4</v>
      </c>
      <c r="T5" s="234" t="s">
        <v>11</v>
      </c>
      <c r="U5" s="6"/>
      <c r="V5" s="202" t="s">
        <v>191</v>
      </c>
      <c r="W5" s="76">
        <f>MIN(Q4:Q13)</f>
        <v>300</v>
      </c>
    </row>
    <row r="6" spans="2:23" ht="19.5" customHeight="1">
      <c r="B6" s="77">
        <f aca="true" t="shared" si="6" ref="B6:B13">B5+1</f>
        <v>3</v>
      </c>
      <c r="C6" s="92" t="s">
        <v>0</v>
      </c>
      <c r="D6" s="225">
        <v>32000</v>
      </c>
      <c r="E6" s="225">
        <v>38400</v>
      </c>
      <c r="F6" s="229">
        <v>3420</v>
      </c>
      <c r="G6" s="230">
        <v>3620</v>
      </c>
      <c r="H6" s="230">
        <v>2220</v>
      </c>
      <c r="I6" s="230">
        <v>3580</v>
      </c>
      <c r="J6" s="230">
        <v>2950</v>
      </c>
      <c r="K6" s="230">
        <v>2510</v>
      </c>
      <c r="L6" s="230">
        <v>2480</v>
      </c>
      <c r="M6" s="230">
        <v>3130</v>
      </c>
      <c r="N6" s="230">
        <v>3090</v>
      </c>
      <c r="O6" s="230">
        <v>3660</v>
      </c>
      <c r="P6" s="230">
        <v>3820</v>
      </c>
      <c r="Q6" s="75">
        <f t="shared" si="5"/>
        <v>3920</v>
      </c>
      <c r="S6" s="5">
        <f t="shared" si="2"/>
        <v>5</v>
      </c>
      <c r="T6" s="234" t="s">
        <v>12</v>
      </c>
      <c r="U6" s="6"/>
      <c r="V6" s="202" t="s">
        <v>191</v>
      </c>
      <c r="W6" s="203">
        <f>IF(W5&lt;0,"最終月の"&amp;MONTH(Q3)&amp;"月が，マイナスになっています。修正して下さい。","")</f>
      </c>
    </row>
    <row r="7" spans="2:21" ht="19.5" customHeight="1">
      <c r="B7" s="77">
        <f t="shared" si="6"/>
        <v>4</v>
      </c>
      <c r="C7" s="92" t="s">
        <v>1</v>
      </c>
      <c r="D7" s="228">
        <v>28000</v>
      </c>
      <c r="E7" s="228">
        <v>33600</v>
      </c>
      <c r="F7" s="229">
        <v>3750</v>
      </c>
      <c r="G7" s="230">
        <v>3540</v>
      </c>
      <c r="H7" s="230">
        <v>2650</v>
      </c>
      <c r="I7" s="230">
        <v>2990</v>
      </c>
      <c r="J7" s="230">
        <v>2350</v>
      </c>
      <c r="K7" s="230">
        <v>2260</v>
      </c>
      <c r="L7" s="230">
        <v>3350</v>
      </c>
      <c r="M7" s="230">
        <v>1960</v>
      </c>
      <c r="N7" s="230">
        <v>3120</v>
      </c>
      <c r="O7" s="230">
        <v>2350</v>
      </c>
      <c r="P7" s="230">
        <v>2860</v>
      </c>
      <c r="Q7" s="75">
        <f t="shared" si="5"/>
        <v>2420</v>
      </c>
      <c r="S7" s="5">
        <f t="shared" si="2"/>
        <v>6</v>
      </c>
      <c r="T7" s="234" t="s">
        <v>13</v>
      </c>
      <c r="U7" s="6"/>
    </row>
    <row r="8" spans="2:21" ht="19.5" customHeight="1">
      <c r="B8" s="77">
        <f t="shared" si="6"/>
        <v>5</v>
      </c>
      <c r="C8" s="92" t="s">
        <v>2</v>
      </c>
      <c r="D8" s="225">
        <v>15000</v>
      </c>
      <c r="E8" s="225">
        <v>12000</v>
      </c>
      <c r="F8" s="229">
        <v>800</v>
      </c>
      <c r="G8" s="230">
        <v>1300</v>
      </c>
      <c r="H8" s="230">
        <v>1350</v>
      </c>
      <c r="I8" s="230">
        <v>770</v>
      </c>
      <c r="J8" s="230">
        <v>970</v>
      </c>
      <c r="K8" s="230">
        <v>770</v>
      </c>
      <c r="L8" s="230">
        <v>860</v>
      </c>
      <c r="M8" s="230">
        <v>1080</v>
      </c>
      <c r="N8" s="230">
        <v>1270</v>
      </c>
      <c r="O8" s="230">
        <v>1150</v>
      </c>
      <c r="P8" s="230">
        <v>840</v>
      </c>
      <c r="Q8" s="75">
        <f t="shared" si="5"/>
        <v>840</v>
      </c>
      <c r="S8" s="5">
        <f t="shared" si="2"/>
        <v>7</v>
      </c>
      <c r="T8" s="234" t="s">
        <v>14</v>
      </c>
      <c r="U8" s="6"/>
    </row>
    <row r="9" spans="2:21" ht="19.5" customHeight="1">
      <c r="B9" s="77">
        <f t="shared" si="6"/>
        <v>6</v>
      </c>
      <c r="C9" s="92" t="s">
        <v>3</v>
      </c>
      <c r="D9" s="228">
        <v>11000</v>
      </c>
      <c r="E9" s="228">
        <v>9900</v>
      </c>
      <c r="F9" s="229">
        <v>710</v>
      </c>
      <c r="G9" s="230">
        <v>640</v>
      </c>
      <c r="H9" s="230">
        <v>680</v>
      </c>
      <c r="I9" s="230">
        <v>750</v>
      </c>
      <c r="J9" s="230">
        <v>910</v>
      </c>
      <c r="K9" s="230">
        <v>730</v>
      </c>
      <c r="L9" s="230">
        <v>990</v>
      </c>
      <c r="M9" s="230">
        <v>630</v>
      </c>
      <c r="N9" s="230">
        <v>1030</v>
      </c>
      <c r="O9" s="230">
        <v>1000</v>
      </c>
      <c r="P9" s="230">
        <v>1020</v>
      </c>
      <c r="Q9" s="75">
        <f t="shared" si="5"/>
        <v>810</v>
      </c>
      <c r="S9" s="5">
        <f t="shared" si="2"/>
        <v>8</v>
      </c>
      <c r="T9" s="234" t="s">
        <v>15</v>
      </c>
      <c r="U9" s="6"/>
    </row>
    <row r="10" spans="2:21" ht="19.5" customHeight="1">
      <c r="B10" s="77">
        <f t="shared" si="6"/>
        <v>7</v>
      </c>
      <c r="C10" s="92" t="s">
        <v>4</v>
      </c>
      <c r="D10" s="225">
        <v>8000</v>
      </c>
      <c r="E10" s="225">
        <v>8000</v>
      </c>
      <c r="F10" s="229">
        <v>840</v>
      </c>
      <c r="G10" s="230">
        <v>820</v>
      </c>
      <c r="H10" s="230">
        <v>690</v>
      </c>
      <c r="I10" s="230">
        <v>710</v>
      </c>
      <c r="J10" s="230">
        <v>620</v>
      </c>
      <c r="K10" s="230">
        <v>720</v>
      </c>
      <c r="L10" s="230">
        <v>440</v>
      </c>
      <c r="M10" s="230">
        <v>560</v>
      </c>
      <c r="N10" s="230">
        <v>720</v>
      </c>
      <c r="O10" s="230">
        <v>740</v>
      </c>
      <c r="P10" s="230">
        <v>500</v>
      </c>
      <c r="Q10" s="75">
        <f t="shared" si="5"/>
        <v>640</v>
      </c>
      <c r="S10" s="5">
        <f t="shared" si="2"/>
        <v>9</v>
      </c>
      <c r="T10" s="234" t="s">
        <v>17</v>
      </c>
      <c r="U10" s="6"/>
    </row>
    <row r="11" spans="2:21" ht="19.5" customHeight="1">
      <c r="B11" s="77">
        <f t="shared" si="6"/>
        <v>8</v>
      </c>
      <c r="C11" s="92" t="s">
        <v>5</v>
      </c>
      <c r="D11" s="228">
        <v>5000</v>
      </c>
      <c r="E11" s="228">
        <v>5000</v>
      </c>
      <c r="F11" s="229">
        <v>500</v>
      </c>
      <c r="G11" s="230">
        <v>430</v>
      </c>
      <c r="H11" s="230">
        <v>450</v>
      </c>
      <c r="I11" s="230">
        <v>400</v>
      </c>
      <c r="J11" s="230">
        <v>320</v>
      </c>
      <c r="K11" s="230">
        <v>530</v>
      </c>
      <c r="L11" s="230">
        <v>510</v>
      </c>
      <c r="M11" s="230">
        <v>320</v>
      </c>
      <c r="N11" s="230">
        <v>430</v>
      </c>
      <c r="O11" s="230">
        <v>380</v>
      </c>
      <c r="P11" s="230">
        <v>280</v>
      </c>
      <c r="Q11" s="75">
        <f t="shared" si="5"/>
        <v>450</v>
      </c>
      <c r="S11" s="5">
        <f t="shared" si="2"/>
        <v>10</v>
      </c>
      <c r="T11" s="234" t="s">
        <v>18</v>
      </c>
      <c r="U11" s="6"/>
    </row>
    <row r="12" spans="2:21" ht="19.5" customHeight="1">
      <c r="B12" s="77">
        <f t="shared" si="6"/>
        <v>9</v>
      </c>
      <c r="C12" s="92" t="s">
        <v>6</v>
      </c>
      <c r="D12" s="225">
        <v>4000</v>
      </c>
      <c r="E12" s="225">
        <v>4000</v>
      </c>
      <c r="F12" s="229">
        <v>310</v>
      </c>
      <c r="G12" s="230">
        <v>270</v>
      </c>
      <c r="H12" s="230">
        <v>330</v>
      </c>
      <c r="I12" s="230">
        <v>340</v>
      </c>
      <c r="J12" s="230">
        <v>360</v>
      </c>
      <c r="K12" s="230">
        <v>330</v>
      </c>
      <c r="L12" s="230">
        <v>340</v>
      </c>
      <c r="M12" s="230">
        <v>250</v>
      </c>
      <c r="N12" s="230">
        <v>370</v>
      </c>
      <c r="O12" s="230">
        <v>350</v>
      </c>
      <c r="P12" s="230">
        <v>350</v>
      </c>
      <c r="Q12" s="75">
        <f t="shared" si="5"/>
        <v>400</v>
      </c>
      <c r="S12" s="5">
        <f t="shared" si="2"/>
        <v>11</v>
      </c>
      <c r="T12" s="234" t="s">
        <v>16</v>
      </c>
      <c r="U12" s="6"/>
    </row>
    <row r="13" spans="2:21" ht="19.5" customHeight="1">
      <c r="B13" s="78">
        <f t="shared" si="6"/>
        <v>10</v>
      </c>
      <c r="C13" s="93" t="s">
        <v>7</v>
      </c>
      <c r="D13" s="231">
        <v>3500</v>
      </c>
      <c r="E13" s="231">
        <v>3500</v>
      </c>
      <c r="F13" s="232">
        <v>290</v>
      </c>
      <c r="G13" s="233">
        <v>240</v>
      </c>
      <c r="H13" s="233">
        <v>270</v>
      </c>
      <c r="I13" s="233">
        <v>270</v>
      </c>
      <c r="J13" s="233">
        <v>390</v>
      </c>
      <c r="K13" s="233">
        <v>250</v>
      </c>
      <c r="L13" s="233">
        <v>360</v>
      </c>
      <c r="M13" s="233">
        <v>410</v>
      </c>
      <c r="N13" s="233">
        <v>220</v>
      </c>
      <c r="O13" s="233">
        <v>240</v>
      </c>
      <c r="P13" s="233">
        <v>260</v>
      </c>
      <c r="Q13" s="75">
        <f t="shared" si="5"/>
        <v>300</v>
      </c>
      <c r="S13" s="5">
        <f t="shared" si="2"/>
        <v>12</v>
      </c>
      <c r="T13" s="234" t="s">
        <v>19</v>
      </c>
      <c r="U13" s="6"/>
    </row>
    <row r="14" spans="2:21" ht="19.5" customHeight="1">
      <c r="B14" s="315" t="s">
        <v>117</v>
      </c>
      <c r="C14" s="316"/>
      <c r="D14" s="79">
        <f>SUM(D4:D13)</f>
        <v>206500</v>
      </c>
      <c r="E14" s="79">
        <f>SUM(E4:E13)</f>
        <v>212400</v>
      </c>
      <c r="F14" s="80">
        <f aca="true" t="shared" si="7" ref="F14:Q14">SUM(F4:F13)</f>
        <v>19930</v>
      </c>
      <c r="G14" s="81">
        <f t="shared" si="7"/>
        <v>19290</v>
      </c>
      <c r="H14" s="81">
        <f t="shared" si="7"/>
        <v>16810</v>
      </c>
      <c r="I14" s="81">
        <f t="shared" si="7"/>
        <v>18700</v>
      </c>
      <c r="J14" s="81">
        <f t="shared" si="7"/>
        <v>16300</v>
      </c>
      <c r="K14" s="81">
        <f t="shared" si="7"/>
        <v>18010</v>
      </c>
      <c r="L14" s="81">
        <f t="shared" si="7"/>
        <v>19770</v>
      </c>
      <c r="M14" s="81">
        <f t="shared" si="7"/>
        <v>17000</v>
      </c>
      <c r="N14" s="81">
        <f t="shared" si="7"/>
        <v>16930</v>
      </c>
      <c r="O14" s="81">
        <f t="shared" si="7"/>
        <v>17450</v>
      </c>
      <c r="P14" s="81">
        <f t="shared" si="7"/>
        <v>15850</v>
      </c>
      <c r="Q14" s="82">
        <f t="shared" si="7"/>
        <v>16360</v>
      </c>
      <c r="S14" s="5">
        <f t="shared" si="2"/>
        <v>13</v>
      </c>
      <c r="T14" s="234" t="s">
        <v>20</v>
      </c>
      <c r="U14" s="6"/>
    </row>
    <row r="15" spans="2:20" ht="24.75" customHeight="1">
      <c r="B15" s="326" t="str">
        <f>I1</f>
        <v>商品別売上予算</v>
      </c>
      <c r="C15" s="326"/>
      <c r="D15" s="326"/>
      <c r="E15" s="326"/>
      <c r="F15" s="46" t="s">
        <v>118</v>
      </c>
      <c r="H15" s="7"/>
      <c r="I15" s="7"/>
      <c r="J15" s="83">
        <f>W6</f>
      </c>
      <c r="K15" s="7"/>
      <c r="L15" s="7"/>
      <c r="M15" s="7"/>
      <c r="N15" s="7"/>
      <c r="O15" s="7"/>
      <c r="P15" s="7"/>
      <c r="Q15" s="7"/>
      <c r="S15" s="5">
        <f>S14+1</f>
        <v>14</v>
      </c>
      <c r="T15" s="206" t="s">
        <v>220</v>
      </c>
    </row>
    <row r="16" spans="2:20" ht="19.5" customHeight="1">
      <c r="B16" s="34" t="str">
        <f>B2</f>
        <v>№</v>
      </c>
      <c r="C16" s="84" t="str">
        <f>C2</f>
        <v>商品（商品群）名称</v>
      </c>
      <c r="D16" s="309" t="s">
        <v>119</v>
      </c>
      <c r="E16" s="310"/>
      <c r="F16" s="310"/>
      <c r="G16" s="310"/>
      <c r="H16" s="310"/>
      <c r="I16" s="311"/>
      <c r="J16" s="7"/>
      <c r="K16" s="7"/>
      <c r="L16" s="7"/>
      <c r="M16" s="7"/>
      <c r="N16" s="7"/>
      <c r="O16" s="7"/>
      <c r="P16" s="7"/>
      <c r="Q16" s="7"/>
      <c r="S16" s="5">
        <f>S15+1</f>
        <v>15</v>
      </c>
      <c r="T16" s="206" t="s">
        <v>22</v>
      </c>
    </row>
    <row r="17" spans="2:17" ht="19.5" customHeight="1">
      <c r="B17" s="85">
        <f aca="true" t="shared" si="8" ref="B17:B26">B4</f>
        <v>1</v>
      </c>
      <c r="C17" s="86" t="str">
        <f aca="true" t="shared" si="9" ref="C17:C26">IF(C4="","",C4)</f>
        <v>商品１</v>
      </c>
      <c r="D17" s="317" t="s">
        <v>15</v>
      </c>
      <c r="E17" s="318"/>
      <c r="F17" s="318"/>
      <c r="G17" s="318"/>
      <c r="H17" s="318"/>
      <c r="I17" s="319"/>
      <c r="J17" s="8"/>
      <c r="K17" s="7"/>
      <c r="L17" s="7"/>
      <c r="M17" s="7"/>
      <c r="N17" s="7"/>
      <c r="O17" s="7"/>
      <c r="P17" s="7"/>
      <c r="Q17" s="7"/>
    </row>
    <row r="18" spans="2:17" ht="19.5" customHeight="1">
      <c r="B18" s="87">
        <f t="shared" si="8"/>
        <v>2</v>
      </c>
      <c r="C18" s="88" t="str">
        <f t="shared" si="9"/>
        <v>商品２</v>
      </c>
      <c r="D18" s="312" t="s">
        <v>211</v>
      </c>
      <c r="E18" s="313"/>
      <c r="F18" s="313"/>
      <c r="G18" s="313"/>
      <c r="H18" s="313"/>
      <c r="I18" s="314"/>
      <c r="K18" s="7"/>
      <c r="L18" s="7"/>
      <c r="M18" s="7"/>
      <c r="N18" s="7"/>
      <c r="O18" s="7"/>
      <c r="P18" s="7"/>
      <c r="Q18" s="7"/>
    </row>
    <row r="19" spans="2:17" ht="19.5" customHeight="1">
      <c r="B19" s="87">
        <f t="shared" si="8"/>
        <v>3</v>
      </c>
      <c r="C19" s="88" t="str">
        <f t="shared" si="9"/>
        <v>商品3</v>
      </c>
      <c r="D19" s="312" t="s">
        <v>61</v>
      </c>
      <c r="E19" s="313"/>
      <c r="F19" s="313"/>
      <c r="G19" s="313"/>
      <c r="H19" s="313"/>
      <c r="I19" s="314"/>
      <c r="K19" s="7"/>
      <c r="L19" s="7"/>
      <c r="M19" s="7"/>
      <c r="N19" s="7"/>
      <c r="O19" s="7"/>
      <c r="P19" s="7"/>
      <c r="Q19" s="7"/>
    </row>
    <row r="20" spans="2:17" ht="19.5" customHeight="1">
      <c r="B20" s="87">
        <f t="shared" si="8"/>
        <v>4</v>
      </c>
      <c r="C20" s="88" t="str">
        <f t="shared" si="9"/>
        <v>商品4</v>
      </c>
      <c r="D20" s="312" t="s">
        <v>209</v>
      </c>
      <c r="E20" s="313"/>
      <c r="F20" s="313"/>
      <c r="G20" s="313"/>
      <c r="H20" s="313"/>
      <c r="I20" s="314"/>
      <c r="K20" s="7"/>
      <c r="L20" s="7"/>
      <c r="M20" s="7"/>
      <c r="N20" s="7"/>
      <c r="O20" s="7"/>
      <c r="P20" s="7"/>
      <c r="Q20" s="7"/>
    </row>
    <row r="21" spans="2:17" ht="19.5" customHeight="1">
      <c r="B21" s="87">
        <f t="shared" si="8"/>
        <v>5</v>
      </c>
      <c r="C21" s="88" t="str">
        <f t="shared" si="9"/>
        <v>商品5</v>
      </c>
      <c r="D21" s="312" t="s">
        <v>210</v>
      </c>
      <c r="E21" s="313"/>
      <c r="F21" s="313"/>
      <c r="G21" s="313"/>
      <c r="H21" s="313"/>
      <c r="I21" s="314"/>
      <c r="K21" s="7"/>
      <c r="L21" s="7"/>
      <c r="M21" s="7"/>
      <c r="N21" s="7"/>
      <c r="O21" s="7"/>
      <c r="P21" s="7"/>
      <c r="Q21" s="7"/>
    </row>
    <row r="22" spans="2:17" ht="19.5" customHeight="1">
      <c r="B22" s="87">
        <f t="shared" si="8"/>
        <v>6</v>
      </c>
      <c r="C22" s="88" t="str">
        <f t="shared" si="9"/>
        <v>商品6</v>
      </c>
      <c r="D22" s="312" t="s">
        <v>218</v>
      </c>
      <c r="E22" s="313"/>
      <c r="F22" s="313"/>
      <c r="G22" s="313"/>
      <c r="H22" s="313"/>
      <c r="I22" s="314"/>
      <c r="K22" s="7"/>
      <c r="L22" s="7"/>
      <c r="M22" s="7"/>
      <c r="N22" s="7"/>
      <c r="O22" s="7"/>
      <c r="P22" s="7"/>
      <c r="Q22" s="7"/>
    </row>
    <row r="23" spans="2:17" ht="19.5" customHeight="1">
      <c r="B23" s="87">
        <f t="shared" si="8"/>
        <v>7</v>
      </c>
      <c r="C23" s="88" t="str">
        <f t="shared" si="9"/>
        <v>商品7</v>
      </c>
      <c r="D23" s="312" t="s">
        <v>219</v>
      </c>
      <c r="E23" s="313"/>
      <c r="F23" s="313"/>
      <c r="G23" s="313"/>
      <c r="H23" s="313"/>
      <c r="I23" s="314"/>
      <c r="K23" s="7"/>
      <c r="L23" s="7"/>
      <c r="M23" s="7"/>
      <c r="N23" s="7"/>
      <c r="O23" s="7"/>
      <c r="P23" s="7"/>
      <c r="Q23" s="7"/>
    </row>
    <row r="24" spans="2:17" ht="19.5" customHeight="1">
      <c r="B24" s="87">
        <f t="shared" si="8"/>
        <v>8</v>
      </c>
      <c r="C24" s="88" t="str">
        <f t="shared" si="9"/>
        <v>商品8</v>
      </c>
      <c r="D24" s="312" t="s">
        <v>219</v>
      </c>
      <c r="E24" s="313"/>
      <c r="F24" s="313"/>
      <c r="G24" s="313"/>
      <c r="H24" s="313"/>
      <c r="I24" s="314"/>
      <c r="K24" s="7"/>
      <c r="L24" s="7"/>
      <c r="M24" s="7"/>
      <c r="N24" s="7"/>
      <c r="O24" s="7"/>
      <c r="P24" s="7"/>
      <c r="Q24" s="7"/>
    </row>
    <row r="25" spans="2:17" ht="19.5" customHeight="1">
      <c r="B25" s="87">
        <f t="shared" si="8"/>
        <v>9</v>
      </c>
      <c r="C25" s="88" t="str">
        <f t="shared" si="9"/>
        <v>商品9</v>
      </c>
      <c r="D25" s="312" t="s">
        <v>219</v>
      </c>
      <c r="E25" s="313"/>
      <c r="F25" s="313"/>
      <c r="G25" s="313"/>
      <c r="H25" s="313"/>
      <c r="I25" s="314"/>
      <c r="K25" s="7"/>
      <c r="L25" s="7"/>
      <c r="M25" s="7"/>
      <c r="N25" s="7"/>
      <c r="O25" s="7"/>
      <c r="P25" s="7"/>
      <c r="Q25" s="7"/>
    </row>
    <row r="26" spans="2:17" ht="19.5" customHeight="1">
      <c r="B26" s="89">
        <f t="shared" si="8"/>
        <v>10</v>
      </c>
      <c r="C26" s="90" t="str">
        <f t="shared" si="9"/>
        <v>商品10</v>
      </c>
      <c r="D26" s="306" t="s">
        <v>219</v>
      </c>
      <c r="E26" s="307"/>
      <c r="F26" s="307"/>
      <c r="G26" s="307"/>
      <c r="H26" s="307"/>
      <c r="I26" s="308"/>
      <c r="K26" s="7"/>
      <c r="L26" s="7"/>
      <c r="M26" s="7"/>
      <c r="N26" s="7"/>
      <c r="O26" s="7"/>
      <c r="P26" s="7"/>
      <c r="Q26" s="7"/>
    </row>
    <row r="27" spans="2:17" ht="13.5">
      <c r="B27" s="7"/>
      <c r="C27" s="7"/>
      <c r="D27" s="7"/>
      <c r="E27" s="7"/>
      <c r="F27" s="7"/>
      <c r="G27" s="7"/>
      <c r="H27" s="7"/>
      <c r="I27" s="7"/>
      <c r="K27" s="7"/>
      <c r="L27" s="7"/>
      <c r="M27" s="7"/>
      <c r="N27" s="7"/>
      <c r="O27" s="7"/>
      <c r="P27" s="7"/>
      <c r="Q27" s="7"/>
    </row>
    <row r="28" spans="2:17" ht="13.5">
      <c r="B28" s="7"/>
      <c r="C28" s="7"/>
      <c r="D28" s="7"/>
      <c r="E28" s="7"/>
      <c r="F28" s="7"/>
      <c r="G28" s="7"/>
      <c r="H28" s="7"/>
      <c r="I28" s="7"/>
      <c r="K28" s="7"/>
      <c r="L28" s="7"/>
      <c r="M28" s="7"/>
      <c r="N28" s="7"/>
      <c r="O28" s="7"/>
      <c r="P28" s="7"/>
      <c r="Q28" s="7"/>
    </row>
    <row r="29" spans="2:17" ht="13.5">
      <c r="B29" s="7"/>
      <c r="C29" s="7"/>
      <c r="D29" s="7"/>
      <c r="E29" s="7"/>
      <c r="F29" s="7"/>
      <c r="G29" s="7"/>
      <c r="H29" s="7"/>
      <c r="I29" s="7"/>
      <c r="J29" s="6"/>
      <c r="K29" s="7"/>
      <c r="L29" s="7"/>
      <c r="M29" s="7"/>
      <c r="N29" s="7"/>
      <c r="O29" s="7"/>
      <c r="P29" s="7"/>
      <c r="Q29" s="7"/>
    </row>
    <row r="30" spans="2:17" ht="13.5">
      <c r="B30" s="7"/>
      <c r="C30" s="7"/>
      <c r="D30" s="7"/>
      <c r="E30" s="7"/>
      <c r="F30" s="7"/>
      <c r="G30" s="7"/>
      <c r="H30" s="7"/>
      <c r="I30" s="7"/>
      <c r="J30" s="6"/>
      <c r="K30" s="7"/>
      <c r="L30" s="7"/>
      <c r="M30" s="7"/>
      <c r="N30" s="7"/>
      <c r="O30" s="7"/>
      <c r="P30" s="7"/>
      <c r="Q30" s="7"/>
    </row>
    <row r="31" spans="2:17" ht="13.5">
      <c r="B31" s="7"/>
      <c r="C31" s="7"/>
      <c r="D31" s="7"/>
      <c r="E31" s="7"/>
      <c r="F31" s="7"/>
      <c r="G31" s="7"/>
      <c r="H31" s="7"/>
      <c r="I31" s="7"/>
      <c r="J31" s="6"/>
      <c r="K31" s="7"/>
      <c r="L31" s="7"/>
      <c r="M31" s="7"/>
      <c r="N31" s="7"/>
      <c r="O31" s="7"/>
      <c r="P31" s="7"/>
      <c r="Q31" s="7"/>
    </row>
    <row r="32" spans="2:17" ht="13.5">
      <c r="B32" s="7"/>
      <c r="C32" s="7"/>
      <c r="D32" s="7"/>
      <c r="E32" s="7"/>
      <c r="F32" s="7"/>
      <c r="G32" s="7"/>
      <c r="H32" s="7"/>
      <c r="I32" s="7"/>
      <c r="J32" s="6"/>
      <c r="K32" s="7"/>
      <c r="L32" s="7"/>
      <c r="M32" s="7"/>
      <c r="N32" s="7"/>
      <c r="O32" s="7"/>
      <c r="P32" s="7"/>
      <c r="Q32" s="7"/>
    </row>
    <row r="33" spans="2:17" ht="13.5">
      <c r="B33" s="7"/>
      <c r="C33" s="7"/>
      <c r="D33" s="7"/>
      <c r="E33" s="7"/>
      <c r="F33" s="7"/>
      <c r="G33" s="7"/>
      <c r="H33" s="7"/>
      <c r="I33" s="7"/>
      <c r="J33" s="6"/>
      <c r="K33" s="7"/>
      <c r="L33" s="7"/>
      <c r="M33" s="7"/>
      <c r="N33" s="7"/>
      <c r="O33" s="7"/>
      <c r="P33" s="7"/>
      <c r="Q33" s="7"/>
    </row>
    <row r="34" spans="2:17" ht="13.5">
      <c r="B34" s="7"/>
      <c r="C34" s="7"/>
      <c r="D34" s="7"/>
      <c r="E34" s="7"/>
      <c r="F34" s="7"/>
      <c r="G34" s="7"/>
      <c r="H34" s="7"/>
      <c r="I34" s="7"/>
      <c r="J34" s="7"/>
      <c r="K34" s="7"/>
      <c r="L34" s="7"/>
      <c r="M34" s="7"/>
      <c r="N34" s="7"/>
      <c r="O34" s="7"/>
      <c r="P34" s="7"/>
      <c r="Q34" s="7"/>
    </row>
    <row r="35" spans="2:17" ht="13.5">
      <c r="B35" s="7"/>
      <c r="C35" s="7"/>
      <c r="D35" s="7"/>
      <c r="E35" s="7"/>
      <c r="F35" s="7"/>
      <c r="G35" s="7"/>
      <c r="H35" s="7"/>
      <c r="I35" s="7"/>
      <c r="J35" s="7"/>
      <c r="K35" s="7"/>
      <c r="L35" s="7"/>
      <c r="M35" s="7"/>
      <c r="N35" s="7"/>
      <c r="O35" s="7"/>
      <c r="P35" s="7"/>
      <c r="Q35" s="7"/>
    </row>
    <row r="36" spans="2:17" ht="13.5">
      <c r="B36" s="7"/>
      <c r="C36" s="7"/>
      <c r="D36" s="7"/>
      <c r="E36" s="7"/>
      <c r="F36" s="7"/>
      <c r="G36" s="7"/>
      <c r="H36" s="7"/>
      <c r="I36" s="7"/>
      <c r="J36" s="7"/>
      <c r="K36" s="7"/>
      <c r="L36" s="7"/>
      <c r="M36" s="7"/>
      <c r="N36" s="7"/>
      <c r="O36" s="7"/>
      <c r="P36" s="7"/>
      <c r="Q36" s="7"/>
    </row>
  </sheetData>
  <sheetProtection/>
  <mergeCells count="21">
    <mergeCell ref="B2:B3"/>
    <mergeCell ref="C2:C3"/>
    <mergeCell ref="E2:E3"/>
    <mergeCell ref="B15:E15"/>
    <mergeCell ref="B14:C14"/>
    <mergeCell ref="D24:I24"/>
    <mergeCell ref="D17:I17"/>
    <mergeCell ref="D18:I18"/>
    <mergeCell ref="D26:I26"/>
    <mergeCell ref="D16:I16"/>
    <mergeCell ref="D21:I21"/>
    <mergeCell ref="D22:I22"/>
    <mergeCell ref="D23:I23"/>
    <mergeCell ref="D20:I20"/>
    <mergeCell ref="D19:I19"/>
    <mergeCell ref="D25:I25"/>
    <mergeCell ref="P1:Q1"/>
    <mergeCell ref="I1:K1"/>
    <mergeCell ref="E1:F1"/>
    <mergeCell ref="D2:D3"/>
    <mergeCell ref="G1:H1"/>
  </mergeCells>
  <dataValidations count="5">
    <dataValidation allowBlank="1" showInputMessage="1" showErrorMessage="1" sqref="L14:P65536 I27:I65536 A1:B65536 C14:C65536 C1 D1:H3 D27:H65536 L1:P3 I2:K3 J14:K65536 I14:I16 D14:H16 Q1:S65536 U1:IV65536 T1 T17:T65536"/>
    <dataValidation type="list" allowBlank="1" showInputMessage="1" showErrorMessage="1" sqref="D17:I26">
      <formula1>$T$2:$T$16</formula1>
    </dataValidation>
    <dataValidation type="list" allowBlank="1" showInputMessage="1" showErrorMessage="1" sqref="I1:K1">
      <formula1>"商品別売上予算,製品別売上予算,得意先別売上予算,営業所別別売上予算,担当別売上予算,事業所別売上予算,販売エリア別売上予算"</formula1>
    </dataValidation>
    <dataValidation allowBlank="1" showInputMessage="1" showErrorMessage="1" imeMode="hiragana" sqref="C2 C4:C13 T2:T16"/>
    <dataValidation type="decimal" allowBlank="1" showInputMessage="1" showErrorMessage="1" errorTitle="入力範囲を超えています" error="▲900兆～900兆(MAX15桁)が入力できる範囲です。&#13;&#13;数字以外は入力できません。" imeMode="off" sqref="D4:P13">
      <formula1>-999999999999999</formula1>
      <formula2>999999999999999</formula2>
    </dataValidation>
  </dataValidations>
  <printOptions horizontalCentered="1" verticalCentered="1"/>
  <pageMargins left="0.2362204724409449" right="0.2755905511811024" top="0.5905511811023623" bottom="0.6692913385826772" header="0.35433070866141736" footer="0.35433070866141736"/>
  <pageSetup blackAndWhite="1" fitToHeight="1" fitToWidth="1" horizontalDpi="600" verticalDpi="600" orientation="landscape" paperSize="9" r:id="rId4"/>
  <headerFooter alignWithMargins="0">
    <oddHeader>&amp;L&amp;D  &amp;T&amp;C&amp;A</oddHeader>
    <oddFooter>&amp;L&amp;F</oddFooter>
  </headerFooter>
  <drawing r:id="rId3"/>
  <legacyDrawing r:id="rId2"/>
</worksheet>
</file>

<file path=xl/worksheets/sheet4.xml><?xml version="1.0" encoding="utf-8"?>
<worksheet xmlns="http://schemas.openxmlformats.org/spreadsheetml/2006/main" xmlns:r="http://schemas.openxmlformats.org/officeDocument/2006/relationships">
  <dimension ref="A1:AF44"/>
  <sheetViews>
    <sheetView showGridLines="0" zoomScalePageLayoutView="0" workbookViewId="0" topLeftCell="A16">
      <selection activeCell="D10" sqref="D10"/>
    </sheetView>
  </sheetViews>
  <sheetFormatPr defaultColWidth="9.00390625" defaultRowHeight="13.5"/>
  <cols>
    <col min="1" max="1" width="1.625" style="112" customWidth="1"/>
    <col min="2" max="2" width="18.00390625" style="112" customWidth="1"/>
    <col min="3" max="3" width="9.625" style="112" customWidth="1"/>
    <col min="4" max="15" width="8.625" style="112" customWidth="1"/>
    <col min="16" max="16" width="9.00390625" style="112" customWidth="1"/>
    <col min="17" max="17" width="17.00390625" style="112" customWidth="1"/>
    <col min="18" max="18" width="11.50390625" style="198" customWidth="1"/>
    <col min="19" max="16384" width="9.00390625" style="112" customWidth="1"/>
  </cols>
  <sheetData>
    <row r="1" spans="2:18" s="115" customFormat="1" ht="13.5">
      <c r="B1" s="128" t="s">
        <v>110</v>
      </c>
      <c r="C1" s="128"/>
      <c r="D1" s="128"/>
      <c r="E1" s="128"/>
      <c r="G1" s="128" t="s">
        <v>77</v>
      </c>
      <c r="H1" s="128"/>
      <c r="I1" s="128"/>
      <c r="J1" s="128"/>
      <c r="K1" s="128"/>
      <c r="L1" s="129"/>
      <c r="M1" s="128" t="s">
        <v>144</v>
      </c>
      <c r="N1" s="128"/>
      <c r="R1" s="130"/>
    </row>
    <row r="2" spans="2:18" s="115" customFormat="1" ht="13.5">
      <c r="B2" s="131" t="s">
        <v>44</v>
      </c>
      <c r="C2" s="132" t="s">
        <v>145</v>
      </c>
      <c r="D2" s="133" t="s">
        <v>78</v>
      </c>
      <c r="E2" s="134" t="s">
        <v>79</v>
      </c>
      <c r="G2" s="330" t="s">
        <v>80</v>
      </c>
      <c r="H2" s="330"/>
      <c r="I2" s="131" t="str">
        <f>B15</f>
        <v>人件費</v>
      </c>
      <c r="J2" s="327" t="str">
        <f>B17</f>
        <v>その他販売管理費</v>
      </c>
      <c r="K2" s="327"/>
      <c r="M2" s="135" t="s">
        <v>132</v>
      </c>
      <c r="N2" s="135" t="s">
        <v>26</v>
      </c>
      <c r="R2" s="130"/>
    </row>
    <row r="3" spans="2:18" s="115" customFormat="1" ht="13.5">
      <c r="B3" s="136" t="s">
        <v>81</v>
      </c>
      <c r="C3" s="238">
        <v>40000</v>
      </c>
      <c r="D3" s="235">
        <v>0.03</v>
      </c>
      <c r="E3" s="137">
        <f>ROUND(C3*(1+D3),0)</f>
        <v>41200</v>
      </c>
      <c r="G3" s="330" t="s">
        <v>82</v>
      </c>
      <c r="H3" s="330"/>
      <c r="I3" s="138">
        <v>1</v>
      </c>
      <c r="J3" s="328">
        <v>0.9</v>
      </c>
      <c r="K3" s="328"/>
      <c r="M3" s="139">
        <f>IF(メニュー!C8="",0.42,メニュー!C8)</f>
        <v>0.42</v>
      </c>
      <c r="N3" s="140">
        <f>IF(メニュー!C7="",70,メニュー!C7)</f>
        <v>70</v>
      </c>
      <c r="R3" s="130"/>
    </row>
    <row r="4" spans="2:18" s="115" customFormat="1" ht="13.5">
      <c r="B4" s="141" t="s">
        <v>83</v>
      </c>
      <c r="C4" s="239">
        <v>3448</v>
      </c>
      <c r="D4" s="236">
        <v>-0.1</v>
      </c>
      <c r="E4" s="142">
        <f>ROUND(C4*(1+D4),0)</f>
        <v>3103</v>
      </c>
      <c r="G4" s="330" t="s">
        <v>84</v>
      </c>
      <c r="H4" s="330"/>
      <c r="I4" s="143">
        <f>1-I3</f>
        <v>0</v>
      </c>
      <c r="J4" s="329">
        <f>1-J3</f>
        <v>0.09999999999999998</v>
      </c>
      <c r="K4" s="329"/>
      <c r="M4" s="116"/>
      <c r="R4" s="144"/>
    </row>
    <row r="5" spans="2:18" s="115" customFormat="1" ht="13.5">
      <c r="B5" s="145" t="s">
        <v>85</v>
      </c>
      <c r="C5" s="240">
        <v>3434</v>
      </c>
      <c r="D5" s="237">
        <v>0.05</v>
      </c>
      <c r="E5" s="146">
        <f>ROUND(C5*(1+D5),0)</f>
        <v>3606</v>
      </c>
      <c r="G5" s="113"/>
      <c r="H5" s="114"/>
      <c r="L5" s="117"/>
      <c r="M5" s="117"/>
      <c r="R5" s="144"/>
    </row>
    <row r="6" spans="3:18" s="115" customFormat="1" ht="13.5">
      <c r="C6" s="147"/>
      <c r="D6" s="148"/>
      <c r="E6" s="149"/>
      <c r="G6" s="113"/>
      <c r="H6" s="114"/>
      <c r="I6" s="116"/>
      <c r="J6" s="116"/>
      <c r="K6" s="117"/>
      <c r="L6" s="117"/>
      <c r="M6" s="117"/>
      <c r="R6" s="144"/>
    </row>
    <row r="7" spans="1:18" s="57" customFormat="1" ht="25.5">
      <c r="A7" s="115"/>
      <c r="B7" s="61">
        <f>'売上予算'!C1</f>
        <v>39814</v>
      </c>
      <c r="C7" s="4" t="s">
        <v>163</v>
      </c>
      <c r="D7" s="302">
        <f>'売上予算'!E1</f>
        <v>40148</v>
      </c>
      <c r="E7" s="302"/>
      <c r="F7" s="336" t="str">
        <f>'売上予算'!G1</f>
        <v>第32期</v>
      </c>
      <c r="G7" s="336"/>
      <c r="H7" s="46" t="s">
        <v>131</v>
      </c>
      <c r="I7" s="150"/>
      <c r="J7" s="150"/>
      <c r="K7" s="150"/>
      <c r="L7" s="150"/>
      <c r="M7" s="331" t="str">
        <f>IF(メニュー!$C$6="","(単位：千円）",メニュー!$C$6)</f>
        <v>（単位：千円）</v>
      </c>
      <c r="N7" s="331"/>
      <c r="Q7" s="202"/>
      <c r="R7" s="118" t="s">
        <v>128</v>
      </c>
    </row>
    <row r="8" spans="2:32" s="150" customFormat="1" ht="13.5">
      <c r="B8" s="334" t="s">
        <v>44</v>
      </c>
      <c r="C8" s="332" t="s">
        <v>86</v>
      </c>
      <c r="D8" s="151">
        <f>'売上予算'!F2</f>
        <v>39814</v>
      </c>
      <c r="E8" s="152">
        <f>DATE(YEAR(D8),MONTH(D8)+1,1)</f>
        <v>39845</v>
      </c>
      <c r="F8" s="152">
        <f aca="true" t="shared" si="0" ref="F8:O8">DATE(YEAR(E8),MONTH(E8)+1,1)</f>
        <v>39873</v>
      </c>
      <c r="G8" s="152">
        <f t="shared" si="0"/>
        <v>39904</v>
      </c>
      <c r="H8" s="152">
        <f t="shared" si="0"/>
        <v>39934</v>
      </c>
      <c r="I8" s="152">
        <f t="shared" si="0"/>
        <v>39965</v>
      </c>
      <c r="J8" s="152">
        <f t="shared" si="0"/>
        <v>39995</v>
      </c>
      <c r="K8" s="152">
        <f t="shared" si="0"/>
        <v>40026</v>
      </c>
      <c r="L8" s="152">
        <f t="shared" si="0"/>
        <v>40057</v>
      </c>
      <c r="M8" s="152">
        <f t="shared" si="0"/>
        <v>40087</v>
      </c>
      <c r="N8" s="152">
        <f t="shared" si="0"/>
        <v>40118</v>
      </c>
      <c r="O8" s="153">
        <f t="shared" si="0"/>
        <v>40148</v>
      </c>
      <c r="P8" s="154"/>
      <c r="Q8" s="202"/>
      <c r="R8" s="106"/>
      <c r="S8" s="107"/>
      <c r="T8" s="107"/>
      <c r="U8" s="107"/>
      <c r="V8" s="107"/>
      <c r="W8" s="107"/>
      <c r="X8" s="107"/>
      <c r="Y8" s="107"/>
      <c r="Z8" s="107"/>
      <c r="AA8" s="107"/>
      <c r="AB8" s="107"/>
      <c r="AC8" s="107"/>
      <c r="AD8" s="107"/>
      <c r="AE8" s="107"/>
      <c r="AF8" s="60"/>
    </row>
    <row r="9" spans="2:32" s="150" customFormat="1" ht="13.5">
      <c r="B9" s="335"/>
      <c r="C9" s="333"/>
      <c r="D9" s="155">
        <f>D8</f>
        <v>39814</v>
      </c>
      <c r="E9" s="156">
        <f aca="true" t="shared" si="1" ref="E9:O9">E8</f>
        <v>39845</v>
      </c>
      <c r="F9" s="156">
        <f t="shared" si="1"/>
        <v>39873</v>
      </c>
      <c r="G9" s="156">
        <f t="shared" si="1"/>
        <v>39904</v>
      </c>
      <c r="H9" s="156">
        <f t="shared" si="1"/>
        <v>39934</v>
      </c>
      <c r="I9" s="156">
        <f t="shared" si="1"/>
        <v>39965</v>
      </c>
      <c r="J9" s="156">
        <f t="shared" si="1"/>
        <v>39995</v>
      </c>
      <c r="K9" s="156">
        <f t="shared" si="1"/>
        <v>40026</v>
      </c>
      <c r="L9" s="156">
        <f t="shared" si="1"/>
        <v>40057</v>
      </c>
      <c r="M9" s="156">
        <f t="shared" si="1"/>
        <v>40087</v>
      </c>
      <c r="N9" s="156">
        <f t="shared" si="1"/>
        <v>40118</v>
      </c>
      <c r="O9" s="157">
        <f t="shared" si="1"/>
        <v>40148</v>
      </c>
      <c r="P9" s="154"/>
      <c r="Q9" s="204" t="s">
        <v>191</v>
      </c>
      <c r="R9" s="107"/>
      <c r="S9" s="107"/>
      <c r="T9" s="108">
        <f>D9</f>
        <v>39814</v>
      </c>
      <c r="U9" s="108">
        <f aca="true" t="shared" si="2" ref="U9:AE9">E9</f>
        <v>39845</v>
      </c>
      <c r="V9" s="108">
        <f t="shared" si="2"/>
        <v>39873</v>
      </c>
      <c r="W9" s="108">
        <f t="shared" si="2"/>
        <v>39904</v>
      </c>
      <c r="X9" s="108">
        <f t="shared" si="2"/>
        <v>39934</v>
      </c>
      <c r="Y9" s="108">
        <f t="shared" si="2"/>
        <v>39965</v>
      </c>
      <c r="Z9" s="108">
        <f t="shared" si="2"/>
        <v>39995</v>
      </c>
      <c r="AA9" s="108">
        <f t="shared" si="2"/>
        <v>40026</v>
      </c>
      <c r="AB9" s="108">
        <f t="shared" si="2"/>
        <v>40057</v>
      </c>
      <c r="AC9" s="108">
        <f t="shared" si="2"/>
        <v>40087</v>
      </c>
      <c r="AD9" s="108">
        <f t="shared" si="2"/>
        <v>40118</v>
      </c>
      <c r="AE9" s="108">
        <f t="shared" si="2"/>
        <v>40148</v>
      </c>
      <c r="AF9" s="60"/>
    </row>
    <row r="10" spans="2:32" s="150" customFormat="1" ht="18" customHeight="1">
      <c r="B10" s="158" t="s">
        <v>87</v>
      </c>
      <c r="C10" s="159">
        <f>'売上予算'!E14</f>
        <v>212400</v>
      </c>
      <c r="D10" s="160">
        <f>'売上予算'!F14</f>
        <v>19930</v>
      </c>
      <c r="E10" s="161">
        <f>'売上予算'!G14</f>
        <v>19290</v>
      </c>
      <c r="F10" s="161">
        <f>'売上予算'!H14</f>
        <v>16810</v>
      </c>
      <c r="G10" s="161">
        <f>'売上予算'!I14</f>
        <v>18700</v>
      </c>
      <c r="H10" s="161">
        <f>'売上予算'!J14</f>
        <v>16300</v>
      </c>
      <c r="I10" s="161">
        <f>'売上予算'!K14</f>
        <v>18010</v>
      </c>
      <c r="J10" s="161">
        <f>'売上予算'!L14</f>
        <v>19770</v>
      </c>
      <c r="K10" s="161">
        <f>'売上予算'!M14</f>
        <v>17000</v>
      </c>
      <c r="L10" s="161">
        <f>'売上予算'!N14</f>
        <v>16930</v>
      </c>
      <c r="M10" s="161">
        <f>'売上予算'!O14</f>
        <v>17450</v>
      </c>
      <c r="N10" s="161">
        <f>'売上予算'!P14</f>
        <v>15850</v>
      </c>
      <c r="O10" s="162">
        <f>'売上予算'!Q14</f>
        <v>16360</v>
      </c>
      <c r="P10" s="154"/>
      <c r="Q10" s="204" t="s">
        <v>191</v>
      </c>
      <c r="R10" s="107"/>
      <c r="S10" s="109">
        <f>ROUND($C$15*I3,0)</f>
        <v>41200</v>
      </c>
      <c r="T10" s="109">
        <f>IF(ISERROR(ROUND(S10/12,0)),0,ROUND(S10/12,0))</f>
        <v>3433</v>
      </c>
      <c r="U10" s="109">
        <f>$T10</f>
        <v>3433</v>
      </c>
      <c r="V10" s="109">
        <f aca="true" t="shared" si="3" ref="V10:AD10">$T10</f>
        <v>3433</v>
      </c>
      <c r="W10" s="109">
        <f t="shared" si="3"/>
        <v>3433</v>
      </c>
      <c r="X10" s="109">
        <f t="shared" si="3"/>
        <v>3433</v>
      </c>
      <c r="Y10" s="109">
        <f t="shared" si="3"/>
        <v>3433</v>
      </c>
      <c r="Z10" s="109">
        <f t="shared" si="3"/>
        <v>3433</v>
      </c>
      <c r="AA10" s="109">
        <f t="shared" si="3"/>
        <v>3433</v>
      </c>
      <c r="AB10" s="109">
        <f t="shared" si="3"/>
        <v>3433</v>
      </c>
      <c r="AC10" s="109">
        <f t="shared" si="3"/>
        <v>3433</v>
      </c>
      <c r="AD10" s="109">
        <f t="shared" si="3"/>
        <v>3433</v>
      </c>
      <c r="AE10" s="109">
        <f>IF(ISERROR(S10-SUM(T10:AD10)),0,S10-SUM(T10:AD10))</f>
        <v>3437</v>
      </c>
      <c r="AF10" s="60"/>
    </row>
    <row r="11" spans="2:32" s="150" customFormat="1" ht="18" customHeight="1">
      <c r="B11" s="163" t="s">
        <v>88</v>
      </c>
      <c r="C11" s="164">
        <f>ROUND(C10*(1-C12),0)</f>
        <v>148680</v>
      </c>
      <c r="D11" s="165">
        <f aca="true" t="shared" si="4" ref="D11:O11">ROUND(D10*(1-D12),0)</f>
        <v>13951</v>
      </c>
      <c r="E11" s="166">
        <f t="shared" si="4"/>
        <v>13503</v>
      </c>
      <c r="F11" s="166">
        <f t="shared" si="4"/>
        <v>11767</v>
      </c>
      <c r="G11" s="166">
        <f t="shared" si="4"/>
        <v>13090</v>
      </c>
      <c r="H11" s="166">
        <f t="shared" si="4"/>
        <v>11410</v>
      </c>
      <c r="I11" s="166">
        <f t="shared" si="4"/>
        <v>12607</v>
      </c>
      <c r="J11" s="166">
        <f t="shared" si="4"/>
        <v>13839</v>
      </c>
      <c r="K11" s="166">
        <f t="shared" si="4"/>
        <v>11900</v>
      </c>
      <c r="L11" s="166">
        <f t="shared" si="4"/>
        <v>11851</v>
      </c>
      <c r="M11" s="166">
        <f t="shared" si="4"/>
        <v>12215</v>
      </c>
      <c r="N11" s="166">
        <f t="shared" si="4"/>
        <v>11095</v>
      </c>
      <c r="O11" s="167">
        <f t="shared" si="4"/>
        <v>11452</v>
      </c>
      <c r="P11" s="154"/>
      <c r="Q11" s="204" t="s">
        <v>191</v>
      </c>
      <c r="R11" s="110">
        <f>IF(ISERROR(S11/$C$10),0,S11/$C$10)</f>
        <v>0</v>
      </c>
      <c r="S11" s="109">
        <f>C15-S10</f>
        <v>0</v>
      </c>
      <c r="T11" s="109">
        <f>IF(ISERROR(ROUND($R$11*D10,0)),0,ROUND($R$11*D10,0))</f>
        <v>0</v>
      </c>
      <c r="U11" s="109">
        <f aca="true" t="shared" si="5" ref="U11:AD11">IF(ISERROR(ROUND($R$11*E10,0)),0,ROUND($R$11*E10,0))</f>
        <v>0</v>
      </c>
      <c r="V11" s="109">
        <f t="shared" si="5"/>
        <v>0</v>
      </c>
      <c r="W11" s="109">
        <f t="shared" si="5"/>
        <v>0</v>
      </c>
      <c r="X11" s="109">
        <f t="shared" si="5"/>
        <v>0</v>
      </c>
      <c r="Y11" s="109">
        <f t="shared" si="5"/>
        <v>0</v>
      </c>
      <c r="Z11" s="109">
        <f t="shared" si="5"/>
        <v>0</v>
      </c>
      <c r="AA11" s="109">
        <f t="shared" si="5"/>
        <v>0</v>
      </c>
      <c r="AB11" s="109">
        <f t="shared" si="5"/>
        <v>0</v>
      </c>
      <c r="AC11" s="109">
        <f t="shared" si="5"/>
        <v>0</v>
      </c>
      <c r="AD11" s="109">
        <f t="shared" si="5"/>
        <v>0</v>
      </c>
      <c r="AE11" s="109">
        <f>IF(ISERROR(S11-SUM(T11:AD11)),0,S11-SUM(T11:AD11))</f>
        <v>0</v>
      </c>
      <c r="AF11" s="60"/>
    </row>
    <row r="12" spans="2:32" s="150" customFormat="1" ht="18" customHeight="1">
      <c r="B12" s="168" t="s">
        <v>89</v>
      </c>
      <c r="C12" s="169">
        <v>0.3</v>
      </c>
      <c r="D12" s="170">
        <f>$C$12</f>
        <v>0.3</v>
      </c>
      <c r="E12" s="171">
        <f aca="true" t="shared" si="6" ref="E12:O12">$C$12</f>
        <v>0.3</v>
      </c>
      <c r="F12" s="171">
        <f t="shared" si="6"/>
        <v>0.3</v>
      </c>
      <c r="G12" s="171">
        <f t="shared" si="6"/>
        <v>0.3</v>
      </c>
      <c r="H12" s="171">
        <f t="shared" si="6"/>
        <v>0.3</v>
      </c>
      <c r="I12" s="171">
        <f t="shared" si="6"/>
        <v>0.3</v>
      </c>
      <c r="J12" s="171">
        <f t="shared" si="6"/>
        <v>0.3</v>
      </c>
      <c r="K12" s="171">
        <f t="shared" si="6"/>
        <v>0.3</v>
      </c>
      <c r="L12" s="171">
        <f t="shared" si="6"/>
        <v>0.3</v>
      </c>
      <c r="M12" s="171">
        <f t="shared" si="6"/>
        <v>0.3</v>
      </c>
      <c r="N12" s="171">
        <f t="shared" si="6"/>
        <v>0.3</v>
      </c>
      <c r="O12" s="172">
        <f t="shared" si="6"/>
        <v>0.3</v>
      </c>
      <c r="P12" s="154"/>
      <c r="Q12" s="204" t="s">
        <v>191</v>
      </c>
      <c r="R12" s="111" t="s">
        <v>24</v>
      </c>
      <c r="S12" s="109">
        <f>IF(ISERROR(SUM(S10:S11)),0,SUM(S10:S11))</f>
        <v>41200</v>
      </c>
      <c r="T12" s="109">
        <f aca="true" t="shared" si="7" ref="T12:AE12">IF(ISERROR(SUM(T10:T11)),0,SUM(T10:T11))</f>
        <v>3433</v>
      </c>
      <c r="U12" s="109">
        <f t="shared" si="7"/>
        <v>3433</v>
      </c>
      <c r="V12" s="109">
        <f t="shared" si="7"/>
        <v>3433</v>
      </c>
      <c r="W12" s="109">
        <f t="shared" si="7"/>
        <v>3433</v>
      </c>
      <c r="X12" s="109">
        <f t="shared" si="7"/>
        <v>3433</v>
      </c>
      <c r="Y12" s="109">
        <f t="shared" si="7"/>
        <v>3433</v>
      </c>
      <c r="Z12" s="109">
        <f t="shared" si="7"/>
        <v>3433</v>
      </c>
      <c r="AA12" s="109">
        <f t="shared" si="7"/>
        <v>3433</v>
      </c>
      <c r="AB12" s="109">
        <f t="shared" si="7"/>
        <v>3433</v>
      </c>
      <c r="AC12" s="109">
        <f t="shared" si="7"/>
        <v>3433</v>
      </c>
      <c r="AD12" s="109">
        <f t="shared" si="7"/>
        <v>3433</v>
      </c>
      <c r="AE12" s="109">
        <f t="shared" si="7"/>
        <v>3437</v>
      </c>
      <c r="AF12" s="60"/>
    </row>
    <row r="13" spans="2:32" s="150" customFormat="1" ht="18" customHeight="1">
      <c r="B13" s="173" t="s">
        <v>90</v>
      </c>
      <c r="C13" s="241">
        <f>IF(ISERROR(C10-C11),0,C10-C11)</f>
        <v>63720</v>
      </c>
      <c r="D13" s="174">
        <f aca="true" t="shared" si="8" ref="D13:O13">IF(ISERROR(D10-D11),0,D10-D11)</f>
        <v>5979</v>
      </c>
      <c r="E13" s="175">
        <f t="shared" si="8"/>
        <v>5787</v>
      </c>
      <c r="F13" s="175">
        <f t="shared" si="8"/>
        <v>5043</v>
      </c>
      <c r="G13" s="175">
        <f t="shared" si="8"/>
        <v>5610</v>
      </c>
      <c r="H13" s="175">
        <f t="shared" si="8"/>
        <v>4890</v>
      </c>
      <c r="I13" s="175">
        <f t="shared" si="8"/>
        <v>5403</v>
      </c>
      <c r="J13" s="175">
        <f t="shared" si="8"/>
        <v>5931</v>
      </c>
      <c r="K13" s="175">
        <f t="shared" si="8"/>
        <v>5100</v>
      </c>
      <c r="L13" s="175">
        <f t="shared" si="8"/>
        <v>5079</v>
      </c>
      <c r="M13" s="175">
        <f t="shared" si="8"/>
        <v>5235</v>
      </c>
      <c r="N13" s="175">
        <f t="shared" si="8"/>
        <v>4755</v>
      </c>
      <c r="O13" s="176">
        <f t="shared" si="8"/>
        <v>4908</v>
      </c>
      <c r="P13" s="154"/>
      <c r="Q13" s="204" t="s">
        <v>191</v>
      </c>
      <c r="R13" s="107"/>
      <c r="S13" s="109"/>
      <c r="T13" s="109"/>
      <c r="U13" s="109"/>
      <c r="V13" s="109"/>
      <c r="W13" s="109"/>
      <c r="X13" s="109"/>
      <c r="Y13" s="109"/>
      <c r="Z13" s="109"/>
      <c r="AA13" s="109"/>
      <c r="AB13" s="109"/>
      <c r="AC13" s="109"/>
      <c r="AD13" s="109"/>
      <c r="AE13" s="109"/>
      <c r="AF13" s="60"/>
    </row>
    <row r="14" spans="2:32" s="150" customFormat="1" ht="18" customHeight="1">
      <c r="B14" s="158" t="s">
        <v>91</v>
      </c>
      <c r="C14" s="242"/>
      <c r="D14" s="177"/>
      <c r="E14" s="178"/>
      <c r="F14" s="178"/>
      <c r="G14" s="178"/>
      <c r="H14" s="178"/>
      <c r="I14" s="178"/>
      <c r="J14" s="178"/>
      <c r="K14" s="178"/>
      <c r="L14" s="178"/>
      <c r="M14" s="178"/>
      <c r="N14" s="178"/>
      <c r="O14" s="179"/>
      <c r="P14" s="154"/>
      <c r="Q14" s="204" t="s">
        <v>191</v>
      </c>
      <c r="R14" s="107"/>
      <c r="S14" s="109">
        <f>ROUND($C$17*J3,0)</f>
        <v>3245</v>
      </c>
      <c r="T14" s="109">
        <f>IF(ISERROR(ROUND(S14/12,0)),0,ROUND(S14/12,0))</f>
        <v>270</v>
      </c>
      <c r="U14" s="109">
        <f>$T14</f>
        <v>270</v>
      </c>
      <c r="V14" s="109">
        <f aca="true" t="shared" si="9" ref="V14:AD14">$T14</f>
        <v>270</v>
      </c>
      <c r="W14" s="109">
        <f t="shared" si="9"/>
        <v>270</v>
      </c>
      <c r="X14" s="109">
        <f t="shared" si="9"/>
        <v>270</v>
      </c>
      <c r="Y14" s="109">
        <f t="shared" si="9"/>
        <v>270</v>
      </c>
      <c r="Z14" s="109">
        <f t="shared" si="9"/>
        <v>270</v>
      </c>
      <c r="AA14" s="109">
        <f t="shared" si="9"/>
        <v>270</v>
      </c>
      <c r="AB14" s="109">
        <f t="shared" si="9"/>
        <v>270</v>
      </c>
      <c r="AC14" s="109">
        <f t="shared" si="9"/>
        <v>270</v>
      </c>
      <c r="AD14" s="109">
        <f t="shared" si="9"/>
        <v>270</v>
      </c>
      <c r="AE14" s="109">
        <f>IF(ISERROR(S14-SUM(T14:AD14)),0,S14-SUM(T14:AD14))</f>
        <v>275</v>
      </c>
      <c r="AF14" s="60"/>
    </row>
    <row r="15" spans="2:32" s="150" customFormat="1" ht="18" customHeight="1">
      <c r="B15" s="168" t="s">
        <v>92</v>
      </c>
      <c r="C15" s="244">
        <f>E3</f>
        <v>41200</v>
      </c>
      <c r="D15" s="165">
        <f>T12</f>
        <v>3433</v>
      </c>
      <c r="E15" s="166">
        <f aca="true" t="shared" si="10" ref="E15:O15">U12</f>
        <v>3433</v>
      </c>
      <c r="F15" s="166">
        <f t="shared" si="10"/>
        <v>3433</v>
      </c>
      <c r="G15" s="166">
        <f t="shared" si="10"/>
        <v>3433</v>
      </c>
      <c r="H15" s="166">
        <f t="shared" si="10"/>
        <v>3433</v>
      </c>
      <c r="I15" s="166">
        <f t="shared" si="10"/>
        <v>3433</v>
      </c>
      <c r="J15" s="166">
        <f t="shared" si="10"/>
        <v>3433</v>
      </c>
      <c r="K15" s="166">
        <f t="shared" si="10"/>
        <v>3433</v>
      </c>
      <c r="L15" s="166">
        <f t="shared" si="10"/>
        <v>3433</v>
      </c>
      <c r="M15" s="166">
        <f t="shared" si="10"/>
        <v>3433</v>
      </c>
      <c r="N15" s="166">
        <f t="shared" si="10"/>
        <v>3433</v>
      </c>
      <c r="O15" s="167">
        <f t="shared" si="10"/>
        <v>3437</v>
      </c>
      <c r="P15" s="154"/>
      <c r="Q15" s="204" t="s">
        <v>191</v>
      </c>
      <c r="R15" s="110">
        <f>IF(ISERROR(S15/$C$10),0,S15/$C$10)</f>
        <v>0.0016996233521657251</v>
      </c>
      <c r="S15" s="109">
        <f>C17-S14</f>
        <v>361</v>
      </c>
      <c r="T15" s="109">
        <f>IF(ISERROR(ROUND($R$15*D10,0)),0,ROUND($R$15*D10,0))</f>
        <v>34</v>
      </c>
      <c r="U15" s="109">
        <f aca="true" t="shared" si="11" ref="U15:AD15">IF(ISERROR(ROUND($R$15*E10,0)),0,ROUND($R$15*E10,0))</f>
        <v>33</v>
      </c>
      <c r="V15" s="109">
        <f t="shared" si="11"/>
        <v>29</v>
      </c>
      <c r="W15" s="109">
        <f t="shared" si="11"/>
        <v>32</v>
      </c>
      <c r="X15" s="109">
        <f t="shared" si="11"/>
        <v>28</v>
      </c>
      <c r="Y15" s="109">
        <f t="shared" si="11"/>
        <v>31</v>
      </c>
      <c r="Z15" s="109">
        <f t="shared" si="11"/>
        <v>34</v>
      </c>
      <c r="AA15" s="109">
        <f t="shared" si="11"/>
        <v>29</v>
      </c>
      <c r="AB15" s="109">
        <f t="shared" si="11"/>
        <v>29</v>
      </c>
      <c r="AC15" s="109">
        <f t="shared" si="11"/>
        <v>30</v>
      </c>
      <c r="AD15" s="109">
        <f t="shared" si="11"/>
        <v>27</v>
      </c>
      <c r="AE15" s="109">
        <f>IF(ISERROR(S15-SUM(T15:AD15)),0,S15-SUM(T15:AD15))</f>
        <v>25</v>
      </c>
      <c r="AF15" s="60"/>
    </row>
    <row r="16" spans="2:32" s="150" customFormat="1" ht="18" customHeight="1">
      <c r="B16" s="168" t="s">
        <v>93</v>
      </c>
      <c r="C16" s="244">
        <f>E4</f>
        <v>3103</v>
      </c>
      <c r="D16" s="165">
        <f>IF(ISERROR(ROUND(C16/12,0)),0,ROUND(C16/12,0))</f>
        <v>259</v>
      </c>
      <c r="E16" s="180">
        <f>D16</f>
        <v>259</v>
      </c>
      <c r="F16" s="180">
        <f aca="true" t="shared" si="12" ref="F16:N16">E16</f>
        <v>259</v>
      </c>
      <c r="G16" s="180">
        <f t="shared" si="12"/>
        <v>259</v>
      </c>
      <c r="H16" s="180">
        <f t="shared" si="12"/>
        <v>259</v>
      </c>
      <c r="I16" s="180">
        <f t="shared" si="12"/>
        <v>259</v>
      </c>
      <c r="J16" s="180">
        <f t="shared" si="12"/>
        <v>259</v>
      </c>
      <c r="K16" s="180">
        <f t="shared" si="12"/>
        <v>259</v>
      </c>
      <c r="L16" s="180">
        <f t="shared" si="12"/>
        <v>259</v>
      </c>
      <c r="M16" s="180">
        <f t="shared" si="12"/>
        <v>259</v>
      </c>
      <c r="N16" s="180">
        <f t="shared" si="12"/>
        <v>259</v>
      </c>
      <c r="O16" s="181">
        <f>C16-SUM(D16:N16)</f>
        <v>254</v>
      </c>
      <c r="P16" s="154"/>
      <c r="Q16" s="204" t="s">
        <v>191</v>
      </c>
      <c r="R16" s="111" t="s">
        <v>146</v>
      </c>
      <c r="S16" s="109">
        <f aca="true" t="shared" si="13" ref="S16:AE16">IF(ISERROR(SUM(S14:S15)),0,SUM(S14:S15))</f>
        <v>3606</v>
      </c>
      <c r="T16" s="109">
        <f t="shared" si="13"/>
        <v>304</v>
      </c>
      <c r="U16" s="109">
        <f t="shared" si="13"/>
        <v>303</v>
      </c>
      <c r="V16" s="109">
        <f t="shared" si="13"/>
        <v>299</v>
      </c>
      <c r="W16" s="109">
        <f t="shared" si="13"/>
        <v>302</v>
      </c>
      <c r="X16" s="109">
        <f t="shared" si="13"/>
        <v>298</v>
      </c>
      <c r="Y16" s="109">
        <f t="shared" si="13"/>
        <v>301</v>
      </c>
      <c r="Z16" s="109">
        <f t="shared" si="13"/>
        <v>304</v>
      </c>
      <c r="AA16" s="109">
        <f t="shared" si="13"/>
        <v>299</v>
      </c>
      <c r="AB16" s="109">
        <f t="shared" si="13"/>
        <v>299</v>
      </c>
      <c r="AC16" s="109">
        <f t="shared" si="13"/>
        <v>300</v>
      </c>
      <c r="AD16" s="109">
        <f t="shared" si="13"/>
        <v>297</v>
      </c>
      <c r="AE16" s="109">
        <f t="shared" si="13"/>
        <v>300</v>
      </c>
      <c r="AF16" s="60"/>
    </row>
    <row r="17" spans="2:32" s="150" customFormat="1" ht="18" customHeight="1">
      <c r="B17" s="168" t="s">
        <v>94</v>
      </c>
      <c r="C17" s="244">
        <f>E5</f>
        <v>3606</v>
      </c>
      <c r="D17" s="182">
        <f>T16</f>
        <v>304</v>
      </c>
      <c r="E17" s="180">
        <f aca="true" t="shared" si="14" ref="E17:O17">U16</f>
        <v>303</v>
      </c>
      <c r="F17" s="180">
        <f t="shared" si="14"/>
        <v>299</v>
      </c>
      <c r="G17" s="180">
        <f t="shared" si="14"/>
        <v>302</v>
      </c>
      <c r="H17" s="180">
        <f t="shared" si="14"/>
        <v>298</v>
      </c>
      <c r="I17" s="180">
        <f t="shared" si="14"/>
        <v>301</v>
      </c>
      <c r="J17" s="180">
        <f t="shared" si="14"/>
        <v>304</v>
      </c>
      <c r="K17" s="180">
        <f t="shared" si="14"/>
        <v>299</v>
      </c>
      <c r="L17" s="180">
        <f t="shared" si="14"/>
        <v>299</v>
      </c>
      <c r="M17" s="180">
        <f t="shared" si="14"/>
        <v>300</v>
      </c>
      <c r="N17" s="180">
        <f t="shared" si="14"/>
        <v>297</v>
      </c>
      <c r="O17" s="181">
        <f t="shared" si="14"/>
        <v>300</v>
      </c>
      <c r="P17" s="154"/>
      <c r="Q17" s="154"/>
      <c r="R17" s="59"/>
      <c r="S17" s="60"/>
      <c r="T17" s="60"/>
      <c r="U17" s="60"/>
      <c r="V17" s="60"/>
      <c r="W17" s="60"/>
      <c r="X17" s="60"/>
      <c r="Y17" s="60"/>
      <c r="Z17" s="60"/>
      <c r="AA17" s="60"/>
      <c r="AB17" s="60"/>
      <c r="AC17" s="60"/>
      <c r="AD17" s="60"/>
      <c r="AE17" s="60"/>
      <c r="AF17" s="60"/>
    </row>
    <row r="18" spans="2:32" s="150" customFormat="1" ht="18" customHeight="1">
      <c r="B18" s="168" t="s">
        <v>95</v>
      </c>
      <c r="C18" s="244">
        <f>SUM(C15:C17)</f>
        <v>47909</v>
      </c>
      <c r="D18" s="182">
        <f>IF(ISERROR(SUM(D15:D17)),0,SUM(D15:D17))</f>
        <v>3996</v>
      </c>
      <c r="E18" s="180">
        <f aca="true" t="shared" si="15" ref="E18:O18">IF(ISERROR(SUM(E15:E17)),0,SUM(E15:E17))</f>
        <v>3995</v>
      </c>
      <c r="F18" s="180">
        <f t="shared" si="15"/>
        <v>3991</v>
      </c>
      <c r="G18" s="180">
        <f t="shared" si="15"/>
        <v>3994</v>
      </c>
      <c r="H18" s="180">
        <f t="shared" si="15"/>
        <v>3990</v>
      </c>
      <c r="I18" s="180">
        <f t="shared" si="15"/>
        <v>3993</v>
      </c>
      <c r="J18" s="180">
        <f t="shared" si="15"/>
        <v>3996</v>
      </c>
      <c r="K18" s="180">
        <f t="shared" si="15"/>
        <v>3991</v>
      </c>
      <c r="L18" s="180">
        <f t="shared" si="15"/>
        <v>3991</v>
      </c>
      <c r="M18" s="180">
        <f t="shared" si="15"/>
        <v>3992</v>
      </c>
      <c r="N18" s="180">
        <f t="shared" si="15"/>
        <v>3989</v>
      </c>
      <c r="O18" s="181">
        <f t="shared" si="15"/>
        <v>3991</v>
      </c>
      <c r="P18" s="154"/>
      <c r="Q18" s="154"/>
      <c r="R18" s="59"/>
      <c r="S18" s="60"/>
      <c r="T18" s="60"/>
      <c r="U18" s="60"/>
      <c r="V18" s="60"/>
      <c r="W18" s="60"/>
      <c r="X18" s="60"/>
      <c r="Y18" s="60"/>
      <c r="Z18" s="60"/>
      <c r="AA18" s="60"/>
      <c r="AB18" s="60"/>
      <c r="AC18" s="60"/>
      <c r="AD18" s="60"/>
      <c r="AE18" s="60"/>
      <c r="AF18" s="60"/>
    </row>
    <row r="19" spans="2:32" s="150" customFormat="1" ht="18" customHeight="1">
      <c r="B19" s="173" t="s">
        <v>96</v>
      </c>
      <c r="C19" s="241">
        <f>IF(ISERROR(C13-C18),0,C13-C18)</f>
        <v>15811</v>
      </c>
      <c r="D19" s="183">
        <f aca="true" t="shared" si="16" ref="D19:O19">IF(ISERROR(D13-D18),0,D13-D18)</f>
        <v>1983</v>
      </c>
      <c r="E19" s="184">
        <f t="shared" si="16"/>
        <v>1792</v>
      </c>
      <c r="F19" s="184">
        <f t="shared" si="16"/>
        <v>1052</v>
      </c>
      <c r="G19" s="184">
        <f t="shared" si="16"/>
        <v>1616</v>
      </c>
      <c r="H19" s="184">
        <f t="shared" si="16"/>
        <v>900</v>
      </c>
      <c r="I19" s="184">
        <f t="shared" si="16"/>
        <v>1410</v>
      </c>
      <c r="J19" s="184">
        <f t="shared" si="16"/>
        <v>1935</v>
      </c>
      <c r="K19" s="184">
        <f t="shared" si="16"/>
        <v>1109</v>
      </c>
      <c r="L19" s="184">
        <f t="shared" si="16"/>
        <v>1088</v>
      </c>
      <c r="M19" s="184">
        <f t="shared" si="16"/>
        <v>1243</v>
      </c>
      <c r="N19" s="184">
        <f t="shared" si="16"/>
        <v>766</v>
      </c>
      <c r="O19" s="185">
        <f t="shared" si="16"/>
        <v>917</v>
      </c>
      <c r="P19" s="154"/>
      <c r="Q19" s="154"/>
      <c r="R19" s="59"/>
      <c r="S19" s="60"/>
      <c r="T19" s="60"/>
      <c r="U19" s="60"/>
      <c r="V19" s="60"/>
      <c r="W19" s="60"/>
      <c r="X19" s="60"/>
      <c r="Y19" s="60"/>
      <c r="Z19" s="60"/>
      <c r="AA19" s="60"/>
      <c r="AB19" s="60"/>
      <c r="AC19" s="60"/>
      <c r="AD19" s="60"/>
      <c r="AE19" s="60"/>
      <c r="AF19" s="60"/>
    </row>
    <row r="20" spans="2:18" s="150" customFormat="1" ht="18" customHeight="1">
      <c r="B20" s="186" t="s">
        <v>97</v>
      </c>
      <c r="C20" s="242"/>
      <c r="D20" s="177"/>
      <c r="E20" s="178"/>
      <c r="F20" s="178"/>
      <c r="G20" s="178"/>
      <c r="H20" s="178"/>
      <c r="I20" s="178"/>
      <c r="J20" s="178"/>
      <c r="K20" s="178"/>
      <c r="L20" s="178"/>
      <c r="M20" s="178"/>
      <c r="N20" s="178"/>
      <c r="O20" s="179"/>
      <c r="P20" s="154"/>
      <c r="Q20" s="154"/>
      <c r="R20" s="154"/>
    </row>
    <row r="21" spans="2:18" s="150" customFormat="1" ht="18" customHeight="1">
      <c r="B21" s="207" t="s">
        <v>164</v>
      </c>
      <c r="C21" s="243">
        <v>400</v>
      </c>
      <c r="D21" s="165">
        <f>IF(ISERROR(ROUND(C21/12,0)),0,ROUND(C21/12,0))</f>
        <v>33</v>
      </c>
      <c r="E21" s="180">
        <f>D21</f>
        <v>33</v>
      </c>
      <c r="F21" s="180">
        <f aca="true" t="shared" si="17" ref="F21:N22">E21</f>
        <v>33</v>
      </c>
      <c r="G21" s="180">
        <f t="shared" si="17"/>
        <v>33</v>
      </c>
      <c r="H21" s="180">
        <f t="shared" si="17"/>
        <v>33</v>
      </c>
      <c r="I21" s="180">
        <f t="shared" si="17"/>
        <v>33</v>
      </c>
      <c r="J21" s="180">
        <f t="shared" si="17"/>
        <v>33</v>
      </c>
      <c r="K21" s="180">
        <f t="shared" si="17"/>
        <v>33</v>
      </c>
      <c r="L21" s="180">
        <f t="shared" si="17"/>
        <v>33</v>
      </c>
      <c r="M21" s="180">
        <f t="shared" si="17"/>
        <v>33</v>
      </c>
      <c r="N21" s="180">
        <f t="shared" si="17"/>
        <v>33</v>
      </c>
      <c r="O21" s="181">
        <f>C21-SUM(D21:N21)</f>
        <v>37</v>
      </c>
      <c r="P21" s="154"/>
      <c r="Q21" s="154"/>
      <c r="R21" s="154"/>
    </row>
    <row r="22" spans="2:18" s="150" customFormat="1" ht="18" customHeight="1">
      <c r="B22" s="207" t="s">
        <v>25</v>
      </c>
      <c r="C22" s="243">
        <v>5000</v>
      </c>
      <c r="D22" s="165">
        <f>IF(ISERROR(ROUND(C22/12,0)),0,ROUND(C22/12,0))</f>
        <v>417</v>
      </c>
      <c r="E22" s="180">
        <f>D22</f>
        <v>417</v>
      </c>
      <c r="F22" s="180">
        <f t="shared" si="17"/>
        <v>417</v>
      </c>
      <c r="G22" s="180">
        <f t="shared" si="17"/>
        <v>417</v>
      </c>
      <c r="H22" s="180">
        <f t="shared" si="17"/>
        <v>417</v>
      </c>
      <c r="I22" s="180">
        <f t="shared" si="17"/>
        <v>417</v>
      </c>
      <c r="J22" s="180">
        <f t="shared" si="17"/>
        <v>417</v>
      </c>
      <c r="K22" s="180">
        <f t="shared" si="17"/>
        <v>417</v>
      </c>
      <c r="L22" s="180">
        <f t="shared" si="17"/>
        <v>417</v>
      </c>
      <c r="M22" s="180">
        <f t="shared" si="17"/>
        <v>417</v>
      </c>
      <c r="N22" s="180">
        <f t="shared" si="17"/>
        <v>417</v>
      </c>
      <c r="O22" s="181">
        <f>C22-SUM(D22:N22)</f>
        <v>413</v>
      </c>
      <c r="P22" s="154"/>
      <c r="Q22" s="154"/>
      <c r="R22" s="154"/>
    </row>
    <row r="23" spans="2:18" s="150" customFormat="1" ht="18" customHeight="1">
      <c r="B23" s="168" t="s">
        <v>98</v>
      </c>
      <c r="C23" s="244">
        <f>IF(ISERROR(SUM(C21:C22)),0,SUM(C21:C22))</f>
        <v>5400</v>
      </c>
      <c r="D23" s="165">
        <f aca="true" t="shared" si="18" ref="D23:O23">IF(ISERROR(SUM(D21:D22)),0,SUM(D21:D22))</f>
        <v>450</v>
      </c>
      <c r="E23" s="166">
        <f t="shared" si="18"/>
        <v>450</v>
      </c>
      <c r="F23" s="166">
        <f t="shared" si="18"/>
        <v>450</v>
      </c>
      <c r="G23" s="166">
        <f t="shared" si="18"/>
        <v>450</v>
      </c>
      <c r="H23" s="166">
        <f t="shared" si="18"/>
        <v>450</v>
      </c>
      <c r="I23" s="166">
        <f t="shared" si="18"/>
        <v>450</v>
      </c>
      <c r="J23" s="166">
        <f t="shared" si="18"/>
        <v>450</v>
      </c>
      <c r="K23" s="166">
        <f t="shared" si="18"/>
        <v>450</v>
      </c>
      <c r="L23" s="166">
        <f t="shared" si="18"/>
        <v>450</v>
      </c>
      <c r="M23" s="166">
        <f t="shared" si="18"/>
        <v>450</v>
      </c>
      <c r="N23" s="166">
        <f t="shared" si="18"/>
        <v>450</v>
      </c>
      <c r="O23" s="167">
        <f t="shared" si="18"/>
        <v>450</v>
      </c>
      <c r="P23" s="154"/>
      <c r="Q23" s="154"/>
      <c r="R23" s="154"/>
    </row>
    <row r="24" spans="2:18" s="150" customFormat="1" ht="18" customHeight="1">
      <c r="B24" s="187" t="s">
        <v>99</v>
      </c>
      <c r="C24" s="244"/>
      <c r="D24" s="165"/>
      <c r="E24" s="166"/>
      <c r="F24" s="166"/>
      <c r="G24" s="166"/>
      <c r="H24" s="166"/>
      <c r="I24" s="166"/>
      <c r="J24" s="166"/>
      <c r="K24" s="166"/>
      <c r="L24" s="166"/>
      <c r="M24" s="166"/>
      <c r="N24" s="166"/>
      <c r="O24" s="167"/>
      <c r="P24" s="154"/>
      <c r="Q24" s="154"/>
      <c r="R24" s="154"/>
    </row>
    <row r="25" spans="2:18" s="150" customFormat="1" ht="18" customHeight="1">
      <c r="B25" s="168" t="s">
        <v>100</v>
      </c>
      <c r="C25" s="243">
        <v>1200</v>
      </c>
      <c r="D25" s="165">
        <f>IF(ISERROR(ROUND(C25/12,0)),0,ROUND(C25/12,0))</f>
        <v>100</v>
      </c>
      <c r="E25" s="180">
        <f aca="true" t="shared" si="19" ref="E25:N25">D25</f>
        <v>100</v>
      </c>
      <c r="F25" s="180">
        <f t="shared" si="19"/>
        <v>100</v>
      </c>
      <c r="G25" s="180">
        <f t="shared" si="19"/>
        <v>100</v>
      </c>
      <c r="H25" s="180">
        <f t="shared" si="19"/>
        <v>100</v>
      </c>
      <c r="I25" s="180">
        <f t="shared" si="19"/>
        <v>100</v>
      </c>
      <c r="J25" s="180">
        <f t="shared" si="19"/>
        <v>100</v>
      </c>
      <c r="K25" s="180">
        <f t="shared" si="19"/>
        <v>100</v>
      </c>
      <c r="L25" s="180">
        <f t="shared" si="19"/>
        <v>100</v>
      </c>
      <c r="M25" s="180">
        <f t="shared" si="19"/>
        <v>100</v>
      </c>
      <c r="N25" s="180">
        <f t="shared" si="19"/>
        <v>100</v>
      </c>
      <c r="O25" s="181">
        <f>C25-SUM(D25:N25)</f>
        <v>100</v>
      </c>
      <c r="P25" s="154"/>
      <c r="Q25" s="154"/>
      <c r="R25" s="154"/>
    </row>
    <row r="26" spans="2:18" s="150" customFormat="1" ht="18" customHeight="1">
      <c r="B26" s="168" t="s">
        <v>101</v>
      </c>
      <c r="C26" s="243">
        <v>3000</v>
      </c>
      <c r="D26" s="165">
        <f>IF(ISERROR(ROUND(C26/12,0)),0,ROUND(C26/12,0))</f>
        <v>250</v>
      </c>
      <c r="E26" s="180">
        <f aca="true" t="shared" si="20" ref="E26:N26">D26</f>
        <v>250</v>
      </c>
      <c r="F26" s="180">
        <f t="shared" si="20"/>
        <v>250</v>
      </c>
      <c r="G26" s="180">
        <f t="shared" si="20"/>
        <v>250</v>
      </c>
      <c r="H26" s="180">
        <f t="shared" si="20"/>
        <v>250</v>
      </c>
      <c r="I26" s="180">
        <f t="shared" si="20"/>
        <v>250</v>
      </c>
      <c r="J26" s="180">
        <f t="shared" si="20"/>
        <v>250</v>
      </c>
      <c r="K26" s="180">
        <f t="shared" si="20"/>
        <v>250</v>
      </c>
      <c r="L26" s="180">
        <f t="shared" si="20"/>
        <v>250</v>
      </c>
      <c r="M26" s="180">
        <f t="shared" si="20"/>
        <v>250</v>
      </c>
      <c r="N26" s="180">
        <f t="shared" si="20"/>
        <v>250</v>
      </c>
      <c r="O26" s="181">
        <f>C26-SUM(D26:N26)</f>
        <v>250</v>
      </c>
      <c r="P26" s="154"/>
      <c r="Q26" s="154"/>
      <c r="R26" s="154"/>
    </row>
    <row r="27" spans="2:18" s="150" customFormat="1" ht="18" customHeight="1">
      <c r="B27" s="168" t="s">
        <v>102</v>
      </c>
      <c r="C27" s="244">
        <f>IF(ISERROR(SUM(C25:C26)),0,SUM(C25:C26))</f>
        <v>4200</v>
      </c>
      <c r="D27" s="165">
        <f aca="true" t="shared" si="21" ref="D27:O27">IF(ISERROR(SUM(D25:D26)),0,SUM(D25:D26))</f>
        <v>350</v>
      </c>
      <c r="E27" s="166">
        <f t="shared" si="21"/>
        <v>350</v>
      </c>
      <c r="F27" s="166">
        <f t="shared" si="21"/>
        <v>350</v>
      </c>
      <c r="G27" s="166">
        <f t="shared" si="21"/>
        <v>350</v>
      </c>
      <c r="H27" s="166">
        <f t="shared" si="21"/>
        <v>350</v>
      </c>
      <c r="I27" s="166">
        <f t="shared" si="21"/>
        <v>350</v>
      </c>
      <c r="J27" s="166">
        <f t="shared" si="21"/>
        <v>350</v>
      </c>
      <c r="K27" s="166">
        <f t="shared" si="21"/>
        <v>350</v>
      </c>
      <c r="L27" s="166">
        <f t="shared" si="21"/>
        <v>350</v>
      </c>
      <c r="M27" s="166">
        <f t="shared" si="21"/>
        <v>350</v>
      </c>
      <c r="N27" s="166">
        <f t="shared" si="21"/>
        <v>350</v>
      </c>
      <c r="O27" s="167">
        <f t="shared" si="21"/>
        <v>350</v>
      </c>
      <c r="P27" s="154"/>
      <c r="Q27" s="154"/>
      <c r="R27" s="154"/>
    </row>
    <row r="28" spans="2:18" s="150" customFormat="1" ht="18" customHeight="1">
      <c r="B28" s="173" t="s">
        <v>103</v>
      </c>
      <c r="C28" s="245">
        <f>IF(ISERROR(C19+C23-C27),0,C19+C23-C27)</f>
        <v>17011</v>
      </c>
      <c r="D28" s="174">
        <f aca="true" t="shared" si="22" ref="D28:O28">IF(ISERROR(D19+D23-D27),0,D19+D23-D27)</f>
        <v>2083</v>
      </c>
      <c r="E28" s="175">
        <f t="shared" si="22"/>
        <v>1892</v>
      </c>
      <c r="F28" s="175">
        <f t="shared" si="22"/>
        <v>1152</v>
      </c>
      <c r="G28" s="175">
        <f t="shared" si="22"/>
        <v>1716</v>
      </c>
      <c r="H28" s="175">
        <f t="shared" si="22"/>
        <v>1000</v>
      </c>
      <c r="I28" s="175">
        <f t="shared" si="22"/>
        <v>1510</v>
      </c>
      <c r="J28" s="175">
        <f t="shared" si="22"/>
        <v>2035</v>
      </c>
      <c r="K28" s="175">
        <f t="shared" si="22"/>
        <v>1209</v>
      </c>
      <c r="L28" s="175">
        <f t="shared" si="22"/>
        <v>1188</v>
      </c>
      <c r="M28" s="175">
        <f t="shared" si="22"/>
        <v>1343</v>
      </c>
      <c r="N28" s="175">
        <f t="shared" si="22"/>
        <v>866</v>
      </c>
      <c r="O28" s="176">
        <f t="shared" si="22"/>
        <v>1017</v>
      </c>
      <c r="P28" s="154"/>
      <c r="Q28" s="154"/>
      <c r="R28" s="154"/>
    </row>
    <row r="29" spans="2:18" s="150" customFormat="1" ht="18" customHeight="1">
      <c r="B29" s="188" t="s">
        <v>104</v>
      </c>
      <c r="C29" s="246">
        <v>12</v>
      </c>
      <c r="D29" s="189">
        <f>IF(ISERROR(ROUND(C29/12,0)),0,ROUND(C29/12,0))</f>
        <v>1</v>
      </c>
      <c r="E29" s="190">
        <f>D29</f>
        <v>1</v>
      </c>
      <c r="F29" s="190">
        <f aca="true" t="shared" si="23" ref="F29:N30">E29</f>
        <v>1</v>
      </c>
      <c r="G29" s="190">
        <f t="shared" si="23"/>
        <v>1</v>
      </c>
      <c r="H29" s="190">
        <f t="shared" si="23"/>
        <v>1</v>
      </c>
      <c r="I29" s="190">
        <f t="shared" si="23"/>
        <v>1</v>
      </c>
      <c r="J29" s="190">
        <f t="shared" si="23"/>
        <v>1</v>
      </c>
      <c r="K29" s="190">
        <f t="shared" si="23"/>
        <v>1</v>
      </c>
      <c r="L29" s="190">
        <f t="shared" si="23"/>
        <v>1</v>
      </c>
      <c r="M29" s="190">
        <f t="shared" si="23"/>
        <v>1</v>
      </c>
      <c r="N29" s="190">
        <f t="shared" si="23"/>
        <v>1</v>
      </c>
      <c r="O29" s="191">
        <f>C29-SUM(D29:N29)</f>
        <v>1</v>
      </c>
      <c r="P29" s="154"/>
      <c r="Q29" s="154"/>
      <c r="R29" s="154"/>
    </row>
    <row r="30" spans="2:18" s="150" customFormat="1" ht="18" customHeight="1">
      <c r="B30" s="187" t="s">
        <v>105</v>
      </c>
      <c r="C30" s="243">
        <v>5000</v>
      </c>
      <c r="D30" s="165">
        <f>IF(ISERROR(ROUND(C30/12,0)),0,ROUND(C30/12,0))</f>
        <v>417</v>
      </c>
      <c r="E30" s="180">
        <f>D30</f>
        <v>417</v>
      </c>
      <c r="F30" s="180">
        <f t="shared" si="23"/>
        <v>417</v>
      </c>
      <c r="G30" s="180">
        <f t="shared" si="23"/>
        <v>417</v>
      </c>
      <c r="H30" s="180">
        <f t="shared" si="23"/>
        <v>417</v>
      </c>
      <c r="I30" s="180">
        <f t="shared" si="23"/>
        <v>417</v>
      </c>
      <c r="J30" s="180">
        <f t="shared" si="23"/>
        <v>417</v>
      </c>
      <c r="K30" s="180">
        <f t="shared" si="23"/>
        <v>417</v>
      </c>
      <c r="L30" s="180">
        <f t="shared" si="23"/>
        <v>417</v>
      </c>
      <c r="M30" s="180">
        <f t="shared" si="23"/>
        <v>417</v>
      </c>
      <c r="N30" s="180">
        <f t="shared" si="23"/>
        <v>417</v>
      </c>
      <c r="O30" s="181">
        <f>C30-SUM(D30:N30)</f>
        <v>413</v>
      </c>
      <c r="P30" s="154"/>
      <c r="Q30" s="154"/>
      <c r="R30" s="154"/>
    </row>
    <row r="31" spans="2:18" s="150" customFormat="1" ht="18" customHeight="1">
      <c r="B31" s="168" t="s">
        <v>106</v>
      </c>
      <c r="C31" s="241">
        <f>IF(ISERROR(C28+C29-C30),0,C28+C29-C30)</f>
        <v>12023</v>
      </c>
      <c r="D31" s="165">
        <f aca="true" t="shared" si="24" ref="D31:O31">IF(ISERROR(D28+D29-D30),0,D28+D29-D30)</f>
        <v>1667</v>
      </c>
      <c r="E31" s="166">
        <f t="shared" si="24"/>
        <v>1476</v>
      </c>
      <c r="F31" s="166">
        <f t="shared" si="24"/>
        <v>736</v>
      </c>
      <c r="G31" s="166">
        <f t="shared" si="24"/>
        <v>1300</v>
      </c>
      <c r="H31" s="166">
        <f t="shared" si="24"/>
        <v>584</v>
      </c>
      <c r="I31" s="166">
        <f t="shared" si="24"/>
        <v>1094</v>
      </c>
      <c r="J31" s="166">
        <f t="shared" si="24"/>
        <v>1619</v>
      </c>
      <c r="K31" s="166">
        <f t="shared" si="24"/>
        <v>793</v>
      </c>
      <c r="L31" s="166">
        <f t="shared" si="24"/>
        <v>772</v>
      </c>
      <c r="M31" s="166">
        <f t="shared" si="24"/>
        <v>927</v>
      </c>
      <c r="N31" s="166">
        <f t="shared" si="24"/>
        <v>450</v>
      </c>
      <c r="O31" s="167">
        <f t="shared" si="24"/>
        <v>605</v>
      </c>
      <c r="P31" s="154"/>
      <c r="Q31" s="154"/>
      <c r="R31" s="154"/>
    </row>
    <row r="32" spans="2:18" s="150" customFormat="1" ht="18" customHeight="1">
      <c r="B32" s="168" t="s">
        <v>107</v>
      </c>
      <c r="C32" s="244">
        <f>IF(C31&lt;=0,N3,ROUND(C31*M3,0))</f>
        <v>5050</v>
      </c>
      <c r="D32" s="192" t="s">
        <v>108</v>
      </c>
      <c r="E32" s="193" t="s">
        <v>108</v>
      </c>
      <c r="F32" s="193" t="s">
        <v>108</v>
      </c>
      <c r="G32" s="193" t="s">
        <v>108</v>
      </c>
      <c r="H32" s="193" t="s">
        <v>108</v>
      </c>
      <c r="I32" s="193" t="s">
        <v>108</v>
      </c>
      <c r="J32" s="193" t="s">
        <v>108</v>
      </c>
      <c r="K32" s="193" t="s">
        <v>108</v>
      </c>
      <c r="L32" s="193" t="s">
        <v>108</v>
      </c>
      <c r="M32" s="193" t="s">
        <v>108</v>
      </c>
      <c r="N32" s="193" t="s">
        <v>108</v>
      </c>
      <c r="O32" s="194" t="s">
        <v>108</v>
      </c>
      <c r="P32" s="154"/>
      <c r="Q32" s="154"/>
      <c r="R32" s="154"/>
    </row>
    <row r="33" spans="2:18" s="150" customFormat="1" ht="18" customHeight="1">
      <c r="B33" s="173" t="s">
        <v>109</v>
      </c>
      <c r="C33" s="245">
        <f>IF(ISERROR(C31-C32),0,C31-C32)</f>
        <v>6973</v>
      </c>
      <c r="D33" s="195" t="s">
        <v>108</v>
      </c>
      <c r="E33" s="196" t="s">
        <v>108</v>
      </c>
      <c r="F33" s="196" t="s">
        <v>108</v>
      </c>
      <c r="G33" s="196" t="s">
        <v>108</v>
      </c>
      <c r="H33" s="196" t="s">
        <v>108</v>
      </c>
      <c r="I33" s="196" t="s">
        <v>108</v>
      </c>
      <c r="J33" s="196" t="s">
        <v>108</v>
      </c>
      <c r="K33" s="196" t="s">
        <v>108</v>
      </c>
      <c r="L33" s="196" t="s">
        <v>108</v>
      </c>
      <c r="M33" s="196" t="s">
        <v>108</v>
      </c>
      <c r="N33" s="196" t="s">
        <v>108</v>
      </c>
      <c r="O33" s="197" t="s">
        <v>108</v>
      </c>
      <c r="P33" s="154"/>
      <c r="Q33" s="154"/>
      <c r="R33" s="154"/>
    </row>
    <row r="34" spans="3:17" ht="13.5">
      <c r="C34" s="198"/>
      <c r="D34" s="198"/>
      <c r="E34" s="198"/>
      <c r="F34" s="198"/>
      <c r="G34" s="198"/>
      <c r="H34" s="198"/>
      <c r="I34" s="198"/>
      <c r="J34" s="198"/>
      <c r="K34" s="198"/>
      <c r="L34" s="198"/>
      <c r="M34" s="198"/>
      <c r="N34" s="198"/>
      <c r="O34" s="198"/>
      <c r="P34" s="198"/>
      <c r="Q34" s="198"/>
    </row>
    <row r="35" spans="4:17" ht="13.5">
      <c r="D35" s="198"/>
      <c r="E35" s="198"/>
      <c r="F35" s="198"/>
      <c r="G35" s="198"/>
      <c r="H35" s="198"/>
      <c r="I35" s="198"/>
      <c r="J35" s="198"/>
      <c r="K35" s="198"/>
      <c r="L35" s="198"/>
      <c r="M35" s="198"/>
      <c r="N35" s="198"/>
      <c r="O35" s="198"/>
      <c r="P35" s="198"/>
      <c r="Q35" s="198"/>
    </row>
    <row r="36" spans="3:17" ht="13.5">
      <c r="C36" s="198"/>
      <c r="D36" s="198"/>
      <c r="E36" s="198"/>
      <c r="F36" s="198"/>
      <c r="G36" s="198"/>
      <c r="H36" s="198"/>
      <c r="I36" s="198"/>
      <c r="J36" s="198"/>
      <c r="K36" s="198"/>
      <c r="L36" s="198"/>
      <c r="M36" s="198"/>
      <c r="N36" s="198"/>
      <c r="O36" s="198"/>
      <c r="P36" s="198"/>
      <c r="Q36" s="198"/>
    </row>
    <row r="37" spans="3:17" ht="13.5">
      <c r="C37" s="198"/>
      <c r="D37" s="198"/>
      <c r="E37" s="198"/>
      <c r="F37" s="198"/>
      <c r="G37" s="198"/>
      <c r="H37" s="198"/>
      <c r="I37" s="198"/>
      <c r="J37" s="198"/>
      <c r="K37" s="198"/>
      <c r="L37" s="198"/>
      <c r="M37" s="198"/>
      <c r="N37" s="198"/>
      <c r="O37" s="198"/>
      <c r="P37" s="198"/>
      <c r="Q37" s="198"/>
    </row>
    <row r="38" spans="3:17" ht="13.5">
      <c r="C38" s="198"/>
      <c r="D38" s="198"/>
      <c r="E38" s="198"/>
      <c r="F38" s="198"/>
      <c r="G38" s="198"/>
      <c r="H38" s="198"/>
      <c r="I38" s="198"/>
      <c r="J38" s="198"/>
      <c r="K38" s="198"/>
      <c r="L38" s="198"/>
      <c r="M38" s="198"/>
      <c r="N38" s="198"/>
      <c r="O38" s="198"/>
      <c r="P38" s="198"/>
      <c r="Q38" s="198"/>
    </row>
    <row r="39" spans="3:17" ht="13.5">
      <c r="C39" s="198"/>
      <c r="D39" s="198"/>
      <c r="E39" s="198"/>
      <c r="F39" s="198"/>
      <c r="G39" s="198"/>
      <c r="H39" s="198"/>
      <c r="I39" s="198"/>
      <c r="J39" s="198"/>
      <c r="K39" s="198"/>
      <c r="L39" s="198"/>
      <c r="M39" s="198"/>
      <c r="N39" s="198"/>
      <c r="O39" s="198"/>
      <c r="P39" s="198"/>
      <c r="Q39" s="198"/>
    </row>
    <row r="40" spans="3:17" ht="13.5">
      <c r="C40" s="198"/>
      <c r="D40" s="198"/>
      <c r="E40" s="198"/>
      <c r="F40" s="198"/>
      <c r="G40" s="198"/>
      <c r="H40" s="198"/>
      <c r="I40" s="198"/>
      <c r="J40" s="198"/>
      <c r="K40" s="198"/>
      <c r="L40" s="198"/>
      <c r="M40" s="198"/>
      <c r="N40" s="198"/>
      <c r="O40" s="198"/>
      <c r="P40" s="198"/>
      <c r="Q40" s="198"/>
    </row>
    <row r="41" spans="3:17" ht="13.5">
      <c r="C41" s="198"/>
      <c r="D41" s="198"/>
      <c r="E41" s="198"/>
      <c r="F41" s="198"/>
      <c r="G41" s="198"/>
      <c r="H41" s="198"/>
      <c r="I41" s="198"/>
      <c r="J41" s="198"/>
      <c r="K41" s="198"/>
      <c r="L41" s="198"/>
      <c r="M41" s="198"/>
      <c r="N41" s="198"/>
      <c r="O41" s="198"/>
      <c r="P41" s="198"/>
      <c r="Q41" s="198"/>
    </row>
    <row r="42" spans="3:17" ht="13.5">
      <c r="C42" s="198"/>
      <c r="D42" s="198"/>
      <c r="E42" s="198"/>
      <c r="F42" s="198"/>
      <c r="G42" s="198"/>
      <c r="H42" s="198"/>
      <c r="I42" s="198"/>
      <c r="J42" s="198"/>
      <c r="K42" s="198"/>
      <c r="L42" s="198"/>
      <c r="M42" s="198"/>
      <c r="N42" s="198"/>
      <c r="O42" s="198"/>
      <c r="P42" s="198"/>
      <c r="Q42" s="198"/>
    </row>
    <row r="43" spans="3:17" ht="13.5">
      <c r="C43" s="198"/>
      <c r="D43" s="198"/>
      <c r="E43" s="198"/>
      <c r="F43" s="198"/>
      <c r="G43" s="198"/>
      <c r="H43" s="198"/>
      <c r="I43" s="198"/>
      <c r="J43" s="198"/>
      <c r="K43" s="198"/>
      <c r="L43" s="198"/>
      <c r="M43" s="198"/>
      <c r="N43" s="198"/>
      <c r="O43" s="198"/>
      <c r="P43" s="198"/>
      <c r="Q43" s="198"/>
    </row>
    <row r="44" spans="3:17" ht="13.5">
      <c r="C44" s="198"/>
      <c r="D44" s="198"/>
      <c r="E44" s="198"/>
      <c r="F44" s="198"/>
      <c r="G44" s="198"/>
      <c r="H44" s="198"/>
      <c r="I44" s="198"/>
      <c r="J44" s="198"/>
      <c r="K44" s="198"/>
      <c r="L44" s="198"/>
      <c r="M44" s="198"/>
      <c r="N44" s="198"/>
      <c r="O44" s="198"/>
      <c r="P44" s="198"/>
      <c r="Q44" s="198"/>
    </row>
  </sheetData>
  <sheetProtection/>
  <mergeCells count="11">
    <mergeCell ref="M7:N7"/>
    <mergeCell ref="C8:C9"/>
    <mergeCell ref="B8:B9"/>
    <mergeCell ref="D7:E7"/>
    <mergeCell ref="F7:G7"/>
    <mergeCell ref="J2:K2"/>
    <mergeCell ref="J3:K3"/>
    <mergeCell ref="J4:K4"/>
    <mergeCell ref="G3:H3"/>
    <mergeCell ref="G4:H4"/>
    <mergeCell ref="G2:H2"/>
  </mergeCells>
  <dataValidations count="6">
    <dataValidation type="list" allowBlank="1" showInputMessage="1" showErrorMessage="1" sqref="I3:K3">
      <formula1>"100％,90％,80％,70％,60％,50％"</formula1>
    </dataValidation>
    <dataValidation type="list" allowBlank="1" showInputMessage="1" showErrorMessage="1" sqref="B21:B22">
      <formula1>"雑収入,受取利息配当金,賃貸収入"</formula1>
    </dataValidation>
    <dataValidation allowBlank="1" showInputMessage="1" showErrorMessage="1" sqref="C34:C65536 I4:K65536 C1:D2 E1:H65536 L1:IV65536 I1:K2 D6:D65536 C6:C11 A1:A65536 B1:B20 B23:B65536"/>
    <dataValidation type="decimal" allowBlank="1" showInputMessage="1" showErrorMessage="1" errorTitle="入力範囲を超えています" error="▲900兆～900兆(MAX15桁)が入力できる範囲です。&#13;&#13;数字以外は入力できません。" imeMode="off" sqref="C3:D5">
      <formula1>-999999999999999</formula1>
      <formula2>999999999999999</formula2>
    </dataValidation>
    <dataValidation allowBlank="1" showInputMessage="1" showErrorMessage="1" imeMode="off" sqref="C12"/>
    <dataValidation type="decimal" allowBlank="1" showInputMessage="1" showErrorMessage="1" errorTitle="入力範囲を超えています" error="▲900兆～900兆(MAX15桁)が入力できる範囲です。&#13;&#13;数字以外は入力できません。" imeMode="off" sqref="C13:C33">
      <formula1>-999999999999999</formula1>
      <formula2>999999999999999</formula2>
    </dataValidation>
  </dataValidations>
  <printOptions horizontalCentered="1" verticalCentered="1"/>
  <pageMargins left="0.4330708661417323" right="0.35433070866141736" top="0.7086614173228347" bottom="0.7874015748031497" header="0.4330708661417323" footer="0.4724409448818898"/>
  <pageSetup blackAndWhite="1" horizontalDpi="600" verticalDpi="600" orientation="landscape" paperSize="9" r:id="rId3"/>
  <headerFooter alignWithMargins="0">
    <oddHeader>&amp;L&amp;D　&amp;T&amp;C&amp;A</oddHeader>
    <oddFooter>&amp;L&amp;F</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O36"/>
  <sheetViews>
    <sheetView showGridLines="0" tabSelected="1" zoomScalePageLayoutView="0" workbookViewId="0" topLeftCell="A10">
      <selection activeCell="G23" sqref="G23"/>
    </sheetView>
  </sheetViews>
  <sheetFormatPr defaultColWidth="9.00390625" defaultRowHeight="13.5"/>
  <cols>
    <col min="1" max="1" width="1.625" style="2" customWidth="1"/>
    <col min="2" max="2" width="27.625" style="2" customWidth="1"/>
    <col min="3" max="4" width="11.625" style="2" customWidth="1"/>
    <col min="5" max="5" width="1.625" style="2" customWidth="1"/>
    <col min="6" max="6" width="12.625" style="3" customWidth="1"/>
    <col min="7" max="12" width="11.625" style="3" customWidth="1"/>
    <col min="13" max="13" width="9.00390625" style="2" customWidth="1"/>
    <col min="14" max="14" width="9.25390625" style="2" bestFit="1" customWidth="1"/>
    <col min="15" max="15" width="12.875" style="2" customWidth="1"/>
    <col min="16" max="16384" width="9.00390625" style="2" customWidth="1"/>
  </cols>
  <sheetData>
    <row r="1" spans="1:14" s="58" customFormat="1" ht="25.5" customHeight="1" thickBot="1">
      <c r="A1" s="1"/>
      <c r="B1" s="247" t="str">
        <f>IF(メニュー!C5="","キャッシュ・フロー計算書",'利益計画'!F7&amp;'利益計画'!G7&amp;"　キャッシュ・フロー計算書")</f>
        <v>第32期　キャッシュ・フロー計算書</v>
      </c>
      <c r="C1" s="247"/>
      <c r="D1" s="9" t="str">
        <f>IF(メニュー!$C$6="","(単位：千円）",メニュー!$C$6)</f>
        <v>（単位：千円）</v>
      </c>
      <c r="E1" s="1"/>
      <c r="F1" s="342" t="s">
        <v>133</v>
      </c>
      <c r="G1" s="343"/>
      <c r="H1" s="342"/>
      <c r="I1" s="342"/>
      <c r="J1" s="342"/>
      <c r="K1" s="342"/>
      <c r="L1" s="9" t="str">
        <f>IF(メニュー!$C$6="","(単位：千円）",メニュー!$C$6)</f>
        <v>（単位：千円）</v>
      </c>
      <c r="N1" s="8" t="s">
        <v>147</v>
      </c>
    </row>
    <row r="2" spans="2:15" s="1" customFormat="1" ht="16.5" customHeight="1">
      <c r="B2" s="10" t="s">
        <v>37</v>
      </c>
      <c r="C2" s="15"/>
      <c r="D2" s="16"/>
      <c r="F2" s="211" t="s">
        <v>67</v>
      </c>
      <c r="G2" s="222" t="s">
        <v>229</v>
      </c>
      <c r="H2" s="17" t="s">
        <v>34</v>
      </c>
      <c r="I2" s="18" t="s">
        <v>36</v>
      </c>
      <c r="J2" s="18" t="s">
        <v>143</v>
      </c>
      <c r="K2" s="18" t="s">
        <v>35</v>
      </c>
      <c r="L2" s="19" t="s">
        <v>43</v>
      </c>
      <c r="N2" s="127">
        <v>1</v>
      </c>
      <c r="O2" s="1" t="s">
        <v>148</v>
      </c>
    </row>
    <row r="3" spans="2:15" s="1" customFormat="1" ht="16.5" customHeight="1">
      <c r="B3" s="20" t="s">
        <v>27</v>
      </c>
      <c r="C3" s="21">
        <f>'利益計画'!C31</f>
        <v>12023</v>
      </c>
      <c r="D3" s="22"/>
      <c r="F3" s="212" t="s">
        <v>33</v>
      </c>
      <c r="G3" s="248">
        <v>206500</v>
      </c>
      <c r="H3" s="215">
        <f>'利益計画'!C10</f>
        <v>212400</v>
      </c>
      <c r="I3" s="23">
        <f aca="true" t="shared" si="0" ref="I3:I8">H3-G3</f>
        <v>5900</v>
      </c>
      <c r="J3" s="24" t="s">
        <v>108</v>
      </c>
      <c r="K3" s="94">
        <f>IF(ISERROR(H3/G3-1),0,H3/G3-1)</f>
        <v>0.02857142857142847</v>
      </c>
      <c r="L3" s="25" t="s">
        <v>108</v>
      </c>
      <c r="N3" s="127"/>
      <c r="O3" s="1" t="s">
        <v>149</v>
      </c>
    </row>
    <row r="4" spans="2:15" s="1" customFormat="1" ht="16.5" customHeight="1">
      <c r="B4" s="20" t="s">
        <v>28</v>
      </c>
      <c r="C4" s="21">
        <f>'利益計画'!C16</f>
        <v>3103</v>
      </c>
      <c r="D4" s="22"/>
      <c r="F4" s="213" t="s">
        <v>134</v>
      </c>
      <c r="G4" s="249">
        <v>17000</v>
      </c>
      <c r="H4" s="216">
        <f>IF(AND(K4=0,L4=0),G4*$K$3+G4,ROUND(G4*(1+K4),0)+L4)</f>
        <v>17485.714285714283</v>
      </c>
      <c r="I4" s="21">
        <f t="shared" si="0"/>
        <v>485.7142857142826</v>
      </c>
      <c r="J4" s="95" t="str">
        <f>IF(I4=0,"",IF(I4&gt;0,"減少","増加"))</f>
        <v>減少</v>
      </c>
      <c r="K4" s="253"/>
      <c r="L4" s="251"/>
      <c r="N4" s="127"/>
      <c r="O4" s="1" t="s">
        <v>150</v>
      </c>
    </row>
    <row r="5" spans="2:15" s="1" customFormat="1" ht="16.5" customHeight="1">
      <c r="B5" s="20" t="str">
        <f>IF(I4&gt;0,"受取手形増加 (CF減少)",IF(I4&lt;0,"受取手形減少 (CF増加)","受取手形"))</f>
        <v>受取手形増加 (CF減少)</v>
      </c>
      <c r="C5" s="21">
        <f>I4*(-1)</f>
        <v>-485.7142857142826</v>
      </c>
      <c r="D5" s="22"/>
      <c r="F5" s="213" t="s">
        <v>135</v>
      </c>
      <c r="G5" s="249">
        <v>30000</v>
      </c>
      <c r="H5" s="216">
        <f>IF(AND(K5=0,L5=0),G5*$K$3+G5,ROUND(G5*(1+K5),0)+L5)</f>
        <v>30857.142857142855</v>
      </c>
      <c r="I5" s="21">
        <f t="shared" si="0"/>
        <v>857.1428571428551</v>
      </c>
      <c r="J5" s="95" t="str">
        <f>IF(I5=0,"",IF(I5&gt;0,"減少","増加"))</f>
        <v>減少</v>
      </c>
      <c r="K5" s="253"/>
      <c r="L5" s="251"/>
      <c r="N5" s="127">
        <v>2</v>
      </c>
      <c r="O5" s="1" t="s">
        <v>151</v>
      </c>
    </row>
    <row r="6" spans="2:15" s="1" customFormat="1" ht="16.5" customHeight="1">
      <c r="B6" s="20" t="str">
        <f>IF(I5&gt;0,"売掛金増加 (CF減少)",IF(I5&lt;0,"売掛金減少 (CF増加)","売掛金"))</f>
        <v>売掛金増加 (CF減少)</v>
      </c>
      <c r="C6" s="21">
        <f>I5*(-1)</f>
        <v>-857.1428571428551</v>
      </c>
      <c r="D6" s="22"/>
      <c r="F6" s="213" t="s">
        <v>184</v>
      </c>
      <c r="G6" s="249">
        <v>20000</v>
      </c>
      <c r="H6" s="216">
        <f>IF(AND(K6=0,L6=0),G6*$K$3+G6,ROUND(G6*(1+K6),0)+L6)</f>
        <v>20571.42857142857</v>
      </c>
      <c r="I6" s="21">
        <f t="shared" si="0"/>
        <v>571.4285714285688</v>
      </c>
      <c r="J6" s="95" t="str">
        <f>IF(I6=0,"",IF(I6&gt;0,"減少","増加"))</f>
        <v>減少</v>
      </c>
      <c r="K6" s="253"/>
      <c r="L6" s="251"/>
      <c r="N6" s="127"/>
      <c r="O6" s="1" t="s">
        <v>152</v>
      </c>
    </row>
    <row r="7" spans="2:15" s="1" customFormat="1" ht="16.5" customHeight="1">
      <c r="B7" s="20" t="str">
        <f>IF(I6&gt;0,"棚卸資産増加 (CF減少)",IF(I6&lt;0,"棚卸資産減少 (CF増加)","棚卸資産"))</f>
        <v>棚卸資産増加 (CF減少)</v>
      </c>
      <c r="C7" s="21">
        <f>I6*(-1)</f>
        <v>-571.4285714285688</v>
      </c>
      <c r="D7" s="22"/>
      <c r="F7" s="213" t="s">
        <v>136</v>
      </c>
      <c r="G7" s="249">
        <v>15000</v>
      </c>
      <c r="H7" s="216">
        <f>IF(AND(K7=0,L7=0),G7*$K$3+G7,ROUND(G7*(1+K7),0)+L7)</f>
        <v>15428.571428571428</v>
      </c>
      <c r="I7" s="21">
        <f t="shared" si="0"/>
        <v>428.57142857142753</v>
      </c>
      <c r="J7" s="95" t="str">
        <f>IF(I7=0,"",IF(I7&gt;0,"増加","減少"))</f>
        <v>増加</v>
      </c>
      <c r="K7" s="253"/>
      <c r="L7" s="251"/>
      <c r="N7" s="127"/>
      <c r="O7" s="1" t="s">
        <v>159</v>
      </c>
    </row>
    <row r="8" spans="2:15" s="1" customFormat="1" ht="16.5" customHeight="1" thickBot="1">
      <c r="B8" s="20" t="str">
        <f>IF(I7&gt;0,"支払手形増加 (CF増加)",IF(I7&lt;0,"支払手形減少 (CF減少)","支払手形"))</f>
        <v>支払手形増加 (CF増加)</v>
      </c>
      <c r="C8" s="21">
        <f>I7</f>
        <v>428.57142857142753</v>
      </c>
      <c r="D8" s="22"/>
      <c r="F8" s="214" t="s">
        <v>137</v>
      </c>
      <c r="G8" s="250">
        <v>25000</v>
      </c>
      <c r="H8" s="216">
        <f>IF(AND(K8=0,L8=0),G8*$K$3+G8,ROUND(G8*(1+K8),0)+L8)</f>
        <v>25714.28571428571</v>
      </c>
      <c r="I8" s="28">
        <f t="shared" si="0"/>
        <v>714.2857142857101</v>
      </c>
      <c r="J8" s="96" t="str">
        <f>IF(I8=0,"",IF(I8&gt;0,"増加","減少"))</f>
        <v>増加</v>
      </c>
      <c r="K8" s="254"/>
      <c r="L8" s="252"/>
      <c r="N8" s="127">
        <v>3</v>
      </c>
      <c r="O8" s="1" t="s">
        <v>153</v>
      </c>
    </row>
    <row r="9" spans="2:15" s="1" customFormat="1" ht="16.5" customHeight="1">
      <c r="B9" s="20" t="str">
        <f>IF(I8&gt;0,"買掛金増加 (CF増加)",IF(I8&lt;0,"買掛金減少 (CF減少)","買掛金"))</f>
        <v>買掛金増加 (CF増加)</v>
      </c>
      <c r="C9" s="21">
        <f>I8</f>
        <v>714.2857142857101</v>
      </c>
      <c r="D9" s="22"/>
      <c r="F9" s="344" t="s">
        <v>60</v>
      </c>
      <c r="G9" s="345"/>
      <c r="H9" s="45">
        <f>メニュー!C8</f>
        <v>0.42</v>
      </c>
      <c r="I9" s="209" t="s">
        <v>232</v>
      </c>
      <c r="J9" s="7"/>
      <c r="K9" s="7"/>
      <c r="L9" s="7"/>
      <c r="N9" s="127"/>
      <c r="O9" s="1" t="s">
        <v>216</v>
      </c>
    </row>
    <row r="10" spans="2:15" s="1" customFormat="1" ht="16.5" customHeight="1" thickBot="1">
      <c r="B10" s="20" t="s">
        <v>29</v>
      </c>
      <c r="C10" s="97">
        <f>IF(C3&lt;=0,'利益計画'!N3,C3*H9)*(-1)</f>
        <v>-5049.66</v>
      </c>
      <c r="D10" s="29"/>
      <c r="F10" s="7"/>
      <c r="G10" s="3"/>
      <c r="H10" s="7"/>
      <c r="I10" s="210" t="s">
        <v>217</v>
      </c>
      <c r="J10" s="7"/>
      <c r="K10" s="7"/>
      <c r="L10" s="7"/>
      <c r="N10" s="127">
        <v>4</v>
      </c>
      <c r="O10" s="1" t="s">
        <v>154</v>
      </c>
    </row>
    <row r="11" spans="2:15" s="1" customFormat="1" ht="16.5" customHeight="1">
      <c r="B11" s="223" t="s">
        <v>224</v>
      </c>
      <c r="C11" s="230"/>
      <c r="D11" s="35"/>
      <c r="F11" s="211" t="s">
        <v>68</v>
      </c>
      <c r="G11" s="220" t="s">
        <v>196</v>
      </c>
      <c r="H11" s="101" t="s">
        <v>198</v>
      </c>
      <c r="I11" s="102" t="s">
        <v>50</v>
      </c>
      <c r="J11" s="103" t="s">
        <v>201</v>
      </c>
      <c r="K11" s="220" t="s">
        <v>203</v>
      </c>
      <c r="L11" s="208" t="s">
        <v>46</v>
      </c>
      <c r="N11" s="127">
        <v>5</v>
      </c>
      <c r="O11" s="1" t="s">
        <v>155</v>
      </c>
    </row>
    <row r="12" spans="2:15" s="1" customFormat="1" ht="16.5" customHeight="1">
      <c r="B12" s="30" t="s">
        <v>38</v>
      </c>
      <c r="C12" s="31"/>
      <c r="D12" s="98">
        <f>SUM(C3:C11)</f>
        <v>9304.911428571431</v>
      </c>
      <c r="F12" s="212" t="s">
        <v>47</v>
      </c>
      <c r="G12" s="255">
        <v>2000</v>
      </c>
      <c r="H12" s="256">
        <v>0</v>
      </c>
      <c r="I12" s="257">
        <v>1000</v>
      </c>
      <c r="J12" s="258">
        <v>0</v>
      </c>
      <c r="K12" s="255">
        <v>0</v>
      </c>
      <c r="L12" s="218">
        <f>SUM(G12:K12)</f>
        <v>3000</v>
      </c>
      <c r="N12" s="127"/>
      <c r="O12" s="1" t="s">
        <v>156</v>
      </c>
    </row>
    <row r="13" spans="2:15" s="1" customFormat="1" ht="16.5" customHeight="1" thickBot="1">
      <c r="B13" s="10" t="s">
        <v>39</v>
      </c>
      <c r="C13" s="15"/>
      <c r="D13" s="33"/>
      <c r="F13" s="214" t="s">
        <v>48</v>
      </c>
      <c r="G13" s="259">
        <v>10000</v>
      </c>
      <c r="H13" s="221">
        <f>H19</f>
        <v>2500</v>
      </c>
      <c r="I13" s="28">
        <f>J19</f>
        <v>800</v>
      </c>
      <c r="J13" s="217">
        <f>L19</f>
        <v>250</v>
      </c>
      <c r="K13" s="259">
        <v>0</v>
      </c>
      <c r="L13" s="219">
        <f>SUM(G13:K13)</f>
        <v>13550</v>
      </c>
      <c r="N13" s="127">
        <v>6</v>
      </c>
      <c r="O13" s="1" t="s">
        <v>160</v>
      </c>
    </row>
    <row r="14" spans="2:15" s="1" customFormat="1" ht="16.5" customHeight="1">
      <c r="B14" s="12" t="s">
        <v>30</v>
      </c>
      <c r="C14" s="97">
        <f>L12</f>
        <v>3000</v>
      </c>
      <c r="D14" s="29"/>
      <c r="F14" s="7"/>
      <c r="G14" s="224" t="s">
        <v>230</v>
      </c>
      <c r="H14" s="7"/>
      <c r="I14" s="7"/>
      <c r="J14" s="7"/>
      <c r="K14" s="224" t="s">
        <v>230</v>
      </c>
      <c r="L14" s="7"/>
      <c r="N14" s="127"/>
      <c r="O14" s="1" t="s">
        <v>157</v>
      </c>
    </row>
    <row r="15" spans="2:15" s="1" customFormat="1" ht="16.5" customHeight="1">
      <c r="B15" s="12" t="str">
        <f>G11&amp;"取得による支出"</f>
        <v>土地・建物取得による支出</v>
      </c>
      <c r="C15" s="97">
        <f>G13*(-1)</f>
        <v>-10000</v>
      </c>
      <c r="D15" s="29"/>
      <c r="F15" s="7" t="s">
        <v>63</v>
      </c>
      <c r="G15" s="34" t="str">
        <f>H11</f>
        <v>機械装置</v>
      </c>
      <c r="H15" s="32" t="s">
        <v>62</v>
      </c>
      <c r="I15" s="34" t="str">
        <f>I11</f>
        <v>車輌運搬具</v>
      </c>
      <c r="J15" s="19" t="s">
        <v>62</v>
      </c>
      <c r="K15" s="34" t="str">
        <f>J11</f>
        <v>工具器具備品</v>
      </c>
      <c r="L15" s="19" t="s">
        <v>62</v>
      </c>
      <c r="N15" s="127"/>
      <c r="O15" s="1" t="s">
        <v>161</v>
      </c>
    </row>
    <row r="16" spans="2:15" s="1" customFormat="1" ht="16.5" customHeight="1">
      <c r="B16" s="12" t="str">
        <f>H11&amp;"取得による支出"</f>
        <v>機械装置取得による支出</v>
      </c>
      <c r="C16" s="97">
        <f>H13*(-1)</f>
        <v>-2500</v>
      </c>
      <c r="D16" s="29"/>
      <c r="F16" s="7"/>
      <c r="G16" s="124" t="s">
        <v>212</v>
      </c>
      <c r="H16" s="258">
        <v>2500</v>
      </c>
      <c r="I16" s="124" t="s">
        <v>213</v>
      </c>
      <c r="J16" s="262">
        <v>800</v>
      </c>
      <c r="K16" s="124" t="s">
        <v>214</v>
      </c>
      <c r="L16" s="262">
        <v>250</v>
      </c>
      <c r="N16" s="127">
        <v>7</v>
      </c>
      <c r="O16" s="1" t="s">
        <v>158</v>
      </c>
    </row>
    <row r="17" spans="2:15" s="1" customFormat="1" ht="16.5" customHeight="1">
      <c r="B17" s="12" t="str">
        <f>I11&amp;"取得による支出"</f>
        <v>車輌運搬具取得による支出</v>
      </c>
      <c r="C17" s="97">
        <f>I13*(-1)</f>
        <v>-800</v>
      </c>
      <c r="D17" s="29"/>
      <c r="F17" s="7"/>
      <c r="G17" s="125"/>
      <c r="H17" s="260"/>
      <c r="I17" s="125"/>
      <c r="J17" s="251"/>
      <c r="K17" s="125"/>
      <c r="L17" s="251"/>
      <c r="N17" s="127"/>
      <c r="O17" s="1" t="s">
        <v>162</v>
      </c>
    </row>
    <row r="18" spans="2:12" s="1" customFormat="1" ht="16.5" customHeight="1">
      <c r="B18" s="12" t="str">
        <f>J11&amp;"取得による支出"</f>
        <v>工具器具備品取得による支出</v>
      </c>
      <c r="C18" s="97">
        <f>J13*(-1)</f>
        <v>-250</v>
      </c>
      <c r="D18" s="29"/>
      <c r="F18" s="7"/>
      <c r="G18" s="126"/>
      <c r="H18" s="261"/>
      <c r="I18" s="126"/>
      <c r="J18" s="263"/>
      <c r="K18" s="126"/>
      <c r="L18" s="263"/>
    </row>
    <row r="19" spans="2:15" s="1" customFormat="1" ht="16.5" customHeight="1">
      <c r="B19" s="12" t="str">
        <f>K11&amp;"取得による支出"</f>
        <v>その他取得による支出</v>
      </c>
      <c r="C19" s="97">
        <f>K13*(-1)</f>
        <v>0</v>
      </c>
      <c r="D19" s="35"/>
      <c r="F19" s="7"/>
      <c r="G19" s="34" t="s">
        <v>46</v>
      </c>
      <c r="H19" s="264">
        <f>SUM(H16:H18)</f>
        <v>2500</v>
      </c>
      <c r="I19" s="34" t="s">
        <v>46</v>
      </c>
      <c r="J19" s="264">
        <f>SUM(J16:J18)</f>
        <v>800</v>
      </c>
      <c r="K19" s="34" t="s">
        <v>46</v>
      </c>
      <c r="L19" s="265">
        <f>SUM(L16:L18)</f>
        <v>250</v>
      </c>
      <c r="O19" s="205" t="s">
        <v>63</v>
      </c>
    </row>
    <row r="20" spans="2:15" s="1" customFormat="1" ht="16.5" customHeight="1">
      <c r="B20" s="223" t="s">
        <v>223</v>
      </c>
      <c r="C20" s="230"/>
      <c r="D20" s="35"/>
      <c r="F20" s="7"/>
      <c r="G20" s="38" t="s">
        <v>231</v>
      </c>
      <c r="H20" s="7"/>
      <c r="I20" s="7"/>
      <c r="J20" s="7"/>
      <c r="K20" s="7"/>
      <c r="L20" s="7"/>
      <c r="O20" s="206" t="s">
        <v>194</v>
      </c>
    </row>
    <row r="21" spans="2:15" s="1" customFormat="1" ht="16.5" customHeight="1">
      <c r="B21" s="30" t="s">
        <v>40</v>
      </c>
      <c r="C21" s="36"/>
      <c r="D21" s="98">
        <f>SUM(C14:C20)</f>
        <v>-10550</v>
      </c>
      <c r="F21" s="7"/>
      <c r="G21" s="7"/>
      <c r="H21" s="7"/>
      <c r="I21" s="7"/>
      <c r="J21" s="7"/>
      <c r="K21" s="7"/>
      <c r="L21" s="7"/>
      <c r="O21" s="206" t="s">
        <v>195</v>
      </c>
    </row>
    <row r="22" spans="2:15" s="1" customFormat="1" ht="16.5" customHeight="1">
      <c r="B22" s="10" t="s">
        <v>41</v>
      </c>
      <c r="C22" s="37"/>
      <c r="D22" s="33"/>
      <c r="F22" s="340" t="s">
        <v>65</v>
      </c>
      <c r="G22" s="337" t="s">
        <v>70</v>
      </c>
      <c r="H22" s="338"/>
      <c r="I22" s="338"/>
      <c r="J22" s="338"/>
      <c r="K22" s="338"/>
      <c r="L22" s="339"/>
      <c r="O22" s="206" t="s">
        <v>49</v>
      </c>
    </row>
    <row r="23" spans="2:15" s="1" customFormat="1" ht="16.5" customHeight="1">
      <c r="B23" s="12" t="s">
        <v>53</v>
      </c>
      <c r="C23" s="97">
        <f>L24</f>
        <v>1600</v>
      </c>
      <c r="D23" s="29"/>
      <c r="F23" s="341"/>
      <c r="G23" s="104" t="s">
        <v>57</v>
      </c>
      <c r="H23" s="105" t="s">
        <v>58</v>
      </c>
      <c r="I23" s="105" t="s">
        <v>59</v>
      </c>
      <c r="J23" s="105" t="s">
        <v>69</v>
      </c>
      <c r="K23" s="105" t="s">
        <v>226</v>
      </c>
      <c r="L23" s="39" t="s">
        <v>46</v>
      </c>
      <c r="O23" s="206" t="s">
        <v>193</v>
      </c>
    </row>
    <row r="24" spans="2:15" s="1" customFormat="1" ht="16.5" customHeight="1">
      <c r="B24" s="12" t="s">
        <v>54</v>
      </c>
      <c r="C24" s="97">
        <f>L25*(-1)</f>
        <v>-2300</v>
      </c>
      <c r="D24" s="29"/>
      <c r="F24" s="26" t="s">
        <v>215</v>
      </c>
      <c r="G24" s="266"/>
      <c r="H24" s="267"/>
      <c r="I24" s="267">
        <v>300</v>
      </c>
      <c r="J24" s="267">
        <v>500</v>
      </c>
      <c r="K24" s="267">
        <v>800</v>
      </c>
      <c r="L24" s="40">
        <f>SUM(G24:K24)</f>
        <v>1600</v>
      </c>
      <c r="O24" s="206" t="s">
        <v>197</v>
      </c>
    </row>
    <row r="25" spans="2:15" s="1" customFormat="1" ht="16.5" customHeight="1">
      <c r="B25" s="12" t="s">
        <v>55</v>
      </c>
      <c r="C25" s="97">
        <f>L28</f>
        <v>3000</v>
      </c>
      <c r="D25" s="29"/>
      <c r="F25" s="27" t="s">
        <v>45</v>
      </c>
      <c r="G25" s="268"/>
      <c r="H25" s="269">
        <v>1500</v>
      </c>
      <c r="I25" s="269">
        <v>300</v>
      </c>
      <c r="J25" s="269">
        <v>500</v>
      </c>
      <c r="K25" s="269"/>
      <c r="L25" s="41">
        <f>SUM(G25:K25)</f>
        <v>2300</v>
      </c>
      <c r="O25" s="206" t="s">
        <v>51</v>
      </c>
    </row>
    <row r="26" spans="2:15" s="1" customFormat="1" ht="16.5" customHeight="1">
      <c r="B26" s="12" t="s">
        <v>56</v>
      </c>
      <c r="C26" s="97">
        <f>L29*(-1)</f>
        <v>-2796</v>
      </c>
      <c r="D26" s="29"/>
      <c r="F26" s="340" t="s">
        <v>66</v>
      </c>
      <c r="G26" s="337" t="s">
        <v>71</v>
      </c>
      <c r="H26" s="338"/>
      <c r="I26" s="338"/>
      <c r="J26" s="338"/>
      <c r="K26" s="338"/>
      <c r="L26" s="339"/>
      <c r="O26" s="206" t="s">
        <v>199</v>
      </c>
    </row>
    <row r="27" spans="2:15" s="1" customFormat="1" ht="16.5" customHeight="1">
      <c r="B27" s="30" t="s">
        <v>42</v>
      </c>
      <c r="C27" s="36"/>
      <c r="D27" s="98">
        <f>SUM(C23:C26)</f>
        <v>-496</v>
      </c>
      <c r="F27" s="341"/>
      <c r="G27" s="104" t="s">
        <v>57</v>
      </c>
      <c r="H27" s="105" t="s">
        <v>58</v>
      </c>
      <c r="I27" s="105" t="s">
        <v>59</v>
      </c>
      <c r="J27" s="105" t="s">
        <v>69</v>
      </c>
      <c r="K27" s="105" t="s">
        <v>225</v>
      </c>
      <c r="L27" s="39" t="s">
        <v>46</v>
      </c>
      <c r="O27" s="206" t="s">
        <v>50</v>
      </c>
    </row>
    <row r="28" spans="2:15" s="1" customFormat="1" ht="16.5" customHeight="1">
      <c r="B28" s="14" t="s">
        <v>31</v>
      </c>
      <c r="C28" s="37"/>
      <c r="D28" s="99">
        <f>SUM(D12,D21,D27)</f>
        <v>-1741.0885714285687</v>
      </c>
      <c r="F28" s="26" t="s">
        <v>215</v>
      </c>
      <c r="G28" s="266"/>
      <c r="H28" s="267">
        <v>3000</v>
      </c>
      <c r="I28" s="267"/>
      <c r="J28" s="267"/>
      <c r="K28" s="267"/>
      <c r="L28" s="40">
        <f>SUM(G28:K28)</f>
        <v>3000</v>
      </c>
      <c r="O28" s="206" t="s">
        <v>200</v>
      </c>
    </row>
    <row r="29" spans="1:15" s="1" customFormat="1" ht="16.5" customHeight="1">
      <c r="A29" s="43"/>
      <c r="B29" s="11" t="s">
        <v>228</v>
      </c>
      <c r="C29" s="42"/>
      <c r="D29" s="228">
        <v>20000</v>
      </c>
      <c r="F29" s="27" t="s">
        <v>45</v>
      </c>
      <c r="G29" s="268">
        <v>600</v>
      </c>
      <c r="H29" s="269">
        <v>996</v>
      </c>
      <c r="I29" s="269">
        <v>1200</v>
      </c>
      <c r="J29" s="269"/>
      <c r="K29" s="269"/>
      <c r="L29" s="41">
        <f>SUM(G29:K29)</f>
        <v>2796</v>
      </c>
      <c r="O29" s="206" t="s">
        <v>52</v>
      </c>
    </row>
    <row r="30" spans="2:15" ht="16.5" customHeight="1">
      <c r="B30" s="13" t="s">
        <v>32</v>
      </c>
      <c r="C30" s="36"/>
      <c r="D30" s="100">
        <f>SUM(D28:D29)</f>
        <v>18258.91142857143</v>
      </c>
      <c r="F30" s="44" t="s">
        <v>233</v>
      </c>
      <c r="O30" s="206" t="s">
        <v>202</v>
      </c>
    </row>
    <row r="31" spans="3:15" ht="16.5" customHeight="1">
      <c r="C31" s="1"/>
      <c r="D31" s="1"/>
      <c r="O31" s="206" t="s">
        <v>192</v>
      </c>
    </row>
    <row r="32" ht="13.5">
      <c r="O32" s="206" t="s">
        <v>204</v>
      </c>
    </row>
    <row r="33" ht="13.5">
      <c r="O33" s="206" t="s">
        <v>205</v>
      </c>
    </row>
    <row r="34" ht="13.5">
      <c r="O34" s="206" t="s">
        <v>206</v>
      </c>
    </row>
    <row r="35" ht="13.5">
      <c r="O35" s="206"/>
    </row>
    <row r="36" ht="13.5">
      <c r="O36" s="206" t="s">
        <v>64</v>
      </c>
    </row>
  </sheetData>
  <sheetProtection/>
  <mergeCells count="6">
    <mergeCell ref="G26:L26"/>
    <mergeCell ref="F26:F27"/>
    <mergeCell ref="F1:K1"/>
    <mergeCell ref="F22:F23"/>
    <mergeCell ref="F9:G9"/>
    <mergeCell ref="G22:L22"/>
  </mergeCells>
  <conditionalFormatting sqref="J4:J8">
    <cfRule type="cellIs" priority="1" dxfId="1" operator="equal" stopIfTrue="1">
      <formula>"減少"</formula>
    </cfRule>
    <cfRule type="cellIs" priority="2" dxfId="0" operator="equal" stopIfTrue="1">
      <formula>"増加"</formula>
    </cfRule>
  </conditionalFormatting>
  <dataValidations count="15">
    <dataValidation allowBlank="1" showInputMessage="1" showErrorMessage="1" imeMode="hiragana" sqref="K16:K18 I16:I18 G16:G18 G23:K23 G27:K27"/>
    <dataValidation allowBlank="1" showInputMessage="1" showErrorMessage="1" sqref="A1:A65536 C21:C65536 B2:B65536 C2:C10 C12:C19 D30:D65536 D1:D28 E1:F65536 G1:G2 M1:IV65536 K1:L3 K30:K65536 K9:K10 H1:J10 G9:G10 G30:G65536 L20:L65536 H30:H65536 H13:H15 I30:I65536 J13:J15 L9:L15 K14:K15 I13:I15 G14:G15 G19:G22 K19:K22 J20:J22 I19:I22 H20:H22 G26 K26 J26 I26 H26 J30:J65536"/>
    <dataValidation type="list" allowBlank="1" showInputMessage="1" showErrorMessage="1" imeMode="hiragana" sqref="G11:K11">
      <formula1>$O$20:$O$36</formula1>
    </dataValidation>
    <dataValidation type="decimal" allowBlank="1" showInputMessage="1" showErrorMessage="1" errorTitle="入力範囲を超えています" error="▲900兆～900兆(MAX15桁)が入力できる範囲です。&#13;&#13;数字以外は入力できません。" imeMode="off" sqref="B1:C1 C11 C20">
      <formula1>-999999999999999</formula1>
      <formula2>999999999999999</formula2>
    </dataValidation>
    <dataValidation type="decimal" allowBlank="1" showInputMessage="1" showErrorMessage="1" errorTitle="入力範囲を超えています" error="▲900兆～900兆(MAX15桁)が入力できる範囲です。&#13;&#13;数字以外は入力できません。" imeMode="off" sqref="D29">
      <formula1>-999999999999999</formula1>
      <formula2>999999999999999</formula2>
    </dataValidation>
    <dataValidation type="decimal" allowBlank="1" showInputMessage="1" showErrorMessage="1" errorTitle="入力範囲を超えています" error="▲900兆～900兆(MAX15桁)が入力できる範囲です。&#13;&#13;数字以外は入力できません。" imeMode="off" sqref="G3:G8">
      <formula1>-999999999999999</formula1>
      <formula2>999999999999999</formula2>
    </dataValidation>
    <dataValidation type="decimal" allowBlank="1" showInputMessage="1" showErrorMessage="1" errorTitle="入力範囲を超えています" error="▲900兆～900兆(MAX15桁)が入力できる範囲です。&#13;&#13;数字以外は入力できません。" imeMode="off" sqref="K4:L8">
      <formula1>-999999999999999</formula1>
      <formula2>999999999999999</formula2>
    </dataValidation>
    <dataValidation type="decimal" allowBlank="1" showInputMessage="1" showErrorMessage="1" errorTitle="入力範囲を超えています" error="▲900兆～900兆(MAX15桁)が入力できる範囲です。&#13;&#13;数字以外は入力できません。" imeMode="off" sqref="G12:K12">
      <formula1>-999999999999999</formula1>
      <formula2>999999999999999</formula2>
    </dataValidation>
    <dataValidation type="decimal" allowBlank="1" showInputMessage="1" showErrorMessage="1" errorTitle="入力範囲を超えています" error="▲900兆～900兆(MAX15桁)が入力できる範囲です。&#13;&#13;数字以外は入力できません。" imeMode="off" sqref="G13">
      <formula1>-999999999999999</formula1>
      <formula2>999999999999999</formula2>
    </dataValidation>
    <dataValidation type="decimal" allowBlank="1" showInputMessage="1" showErrorMessage="1" errorTitle="入力範囲を超えています" error="▲900兆～900兆(MAX15桁)が入力できる範囲です。&#13;&#13;数字以外は入力できません。" imeMode="off" sqref="K13">
      <formula1>-999999999999999</formula1>
      <formula2>999999999999999</formula2>
    </dataValidation>
    <dataValidation type="decimal" allowBlank="1" showInputMessage="1" showErrorMessage="1" errorTitle="入力範囲を超えています" error="▲900兆～900兆(MAX15桁)が入力できる範囲です。&#13;&#13;数字以外は入力できません。" imeMode="off" sqref="J16:J19">
      <formula1>-999999999999999</formula1>
      <formula2>999999999999999</formula2>
    </dataValidation>
    <dataValidation type="decimal" allowBlank="1" showInputMessage="1" showErrorMessage="1" errorTitle="入力範囲を超えています" error="▲900兆～900兆(MAX15桁)が入力できる範囲です。&#13;&#13;数字以外は入力できません。" imeMode="off" sqref="H16:H19">
      <formula1>-999999999999999</formula1>
      <formula2>999999999999999</formula2>
    </dataValidation>
    <dataValidation type="decimal" allowBlank="1" showInputMessage="1" showErrorMessage="1" errorTitle="入力範囲を超えています" error="▲900兆～900兆(MAX15桁)が入力できる範囲です。&#13;&#13;数字以外は入力できません。" imeMode="off" sqref="L16:L19">
      <formula1>-999999999999999</formula1>
      <formula2>999999999999999</formula2>
    </dataValidation>
    <dataValidation type="decimal" allowBlank="1" showInputMessage="1" showErrorMessage="1" errorTitle="入力範囲を超えています" error="▲900兆～900兆(MAX15桁)が入力できる範囲です。&#13;&#13;数字以外は入力できません。" imeMode="off" sqref="G24:K25">
      <formula1>-999999999999999</formula1>
      <formula2>999999999999999</formula2>
    </dataValidation>
    <dataValidation type="decimal" allowBlank="1" showInputMessage="1" showErrorMessage="1" errorTitle="入力範囲を超えています" error="▲900兆～900兆(MAX15桁)が入力できる範囲です。&#13;&#13;数字以外は入力できません。" imeMode="off" sqref="G28:K29">
      <formula1>-999999999999999</formula1>
      <formula2>999999999999999</formula2>
    </dataValidation>
  </dataValidations>
  <printOptions horizontalCentered="1" verticalCentered="1"/>
  <pageMargins left="0.15748031496062992" right="0.2755905511811024" top="0.5905511811023623" bottom="0.5511811023622047" header="0.31496062992125984" footer="0.2755905511811024"/>
  <pageSetup blackAndWhite="1" fitToHeight="1" fitToWidth="1" orientation="landscape" paperSize="9" r:id="rId3"/>
  <headerFooter alignWithMargins="0">
    <oddHeader>&amp;L&amp;D  &amp;T&amp;C&amp;A</oddHeader>
    <oddFooter>&amp;L&amp;F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西野税理士事務所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コメント</dc:creator>
  <cp:keywords/>
  <dc:description/>
  <cp:lastModifiedBy>Owner</cp:lastModifiedBy>
  <cp:lastPrinted>2009-01-17T09:47:22Z</cp:lastPrinted>
  <dcterms:created xsi:type="dcterms:W3CDTF">2008-01-15T05:47:36Z</dcterms:created>
  <dcterms:modified xsi:type="dcterms:W3CDTF">2010-02-22T21:25:02Z</dcterms:modified>
  <cp:category/>
  <cp:version/>
  <cp:contentType/>
  <cp:contentStatus/>
</cp:coreProperties>
</file>